
<file path=[Content_Types].xml><?xml version="1.0" encoding="utf-8"?>
<Types xmlns="http://schemas.openxmlformats.org/package/2006/content-types">
  <Override PartName="/xl/charts/chart7.xml" ContentType="application/vnd.openxmlformats-officedocument.drawingml.chart+xml"/>
  <Override PartName="/xl/charts/chart44.xml" ContentType="application/vnd.openxmlformats-officedocument.drawingml.chart+xml"/>
  <Override PartName="/xl/drawings/drawing7.xml" ContentType="application/vnd.openxmlformats-officedocument.drawing+xml"/>
  <Default Extension="xml" ContentType="application/xml"/>
  <Override PartName="/xl/charts/chart53.xml" ContentType="application/vnd.openxmlformats-officedocument.drawingml.chart+xml"/>
  <Override PartName="/xl/drawings/drawing13.xml" ContentType="application/vnd.openxmlformats-officedocument.drawing+xml"/>
  <Override PartName="/xl/charts/chart20.xml" ContentType="application/vnd.openxmlformats-officedocument.drawingml.chart+xml"/>
  <Override PartName="/xl/charts/chart36.xml" ContentType="application/vnd.openxmlformats-officedocument.drawingml.chart+xml"/>
  <Override PartName="/xl/worksheets/sheet8.xml" ContentType="application/vnd.openxmlformats-officedocument.spreadsheetml.worksheet+xml"/>
  <Override PartName="/xl/charts/chart19.xml" ContentType="application/vnd.openxmlformats-officedocument.drawingml.chart+xml"/>
  <Override PartName="/xl/charts/chart12.xml" ContentType="application/vnd.openxmlformats-officedocument.drawingml.chart+xml"/>
  <Override PartName="/xl/charts/chart28.xml" ContentType="application/vnd.openxmlformats-officedocument.drawingml.chart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docProps/core.xml" ContentType="application/vnd.openxmlformats-package.core-properties+xml"/>
  <Override PartName="/xl/charts/chart43.xml" ContentType="application/vnd.openxmlformats-officedocument.drawingml.chart+xml"/>
  <Override PartName="/xl/drawings/drawing6.xml" ContentType="application/vnd.openxmlformats-officedocument.drawing+xml"/>
  <Override PartName="/xl/drawings/drawing12.xml" ContentType="application/vnd.openxmlformats-officedocument.drawing+xml"/>
  <Override PartName="/xl/charts/chart52.xml" ContentType="application/vnd.openxmlformats-officedocument.drawingml.chart+xml"/>
  <Override PartName="/xl/worksheets/sheet7.xml" ContentType="application/vnd.openxmlformats-officedocument.spreadsheetml.worksheet+xml"/>
  <Override PartName="/xl/charts/chart35.xml" ContentType="application/vnd.openxmlformats-officedocument.drawingml.chart+xml"/>
  <Override PartName="/xl/theme/theme1.xml" ContentType="application/vnd.openxmlformats-officedocument.theme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xl/charts/chart11.xml" ContentType="application/vnd.openxmlformats-officedocument.drawingml.chart+xml"/>
  <Override PartName="/xl/worksheets/sheet14.xml" ContentType="application/vnd.openxmlformats-officedocument.spreadsheetml.worksheet+xml"/>
  <Override PartName="/xl/charts/chart27.xml" ContentType="application/vnd.openxmlformats-officedocument.drawingml.chart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charts/chart42.xml" ContentType="application/vnd.openxmlformats-officedocument.drawingml.chart+xml"/>
  <Override PartName="/xl/drawings/drawing5.xml" ContentType="application/vnd.openxmlformats-officedocument.drawing+xml"/>
  <Override PartName="/xl/charts/chart51.xml" ContentType="application/vnd.openxmlformats-officedocument.drawingml.chart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worksheets/sheet6.xml" ContentType="application/vnd.openxmlformats-officedocument.spreadsheetml.worksheet+xml"/>
  <Override PartName="/xl/charts/chart34.xml" ContentType="application/vnd.openxmlformats-officedocument.drawingml.chart+xml"/>
  <Override PartName="/xl/charts/chart17.xml" ContentType="application/vnd.openxmlformats-officedocument.drawingml.chart+xml"/>
  <Override PartName="/xl/worksheets/sheet13.xml" ContentType="application/vnd.openxmlformats-officedocument.spreadsheetml.worksheet+xml"/>
  <Override PartName="/xl/charts/chart26.xml" ContentType="application/vnd.openxmlformats-officedocument.drawingml.chart+xml"/>
  <Override PartName="/xl/charts/chart10.xml" ContentType="application/vnd.openxmlformats-officedocument.drawingml.chart+xml"/>
  <Override PartName="/xl/charts/chart4.xml" ContentType="application/vnd.openxmlformats-officedocument.drawingml.chart+xml"/>
  <Override PartName="/xl/charts/chart41.xml" ContentType="application/vnd.openxmlformats-officedocument.drawingml.chart+xml"/>
  <Override PartName="/xl/charts/chart57.xml" ContentType="application/vnd.openxmlformats-officedocument.drawingml.chart+xml"/>
  <Override PartName="/xl/drawings/drawing4.xml" ContentType="application/vnd.openxmlformats-officedocument.drawing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charts/chart50.xml" ContentType="application/vnd.openxmlformats-officedocument.drawingml.char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charts/chart49.xml" ContentType="application/vnd.openxmlformats-officedocument.drawingml.chart+xml"/>
  <Override PartName="/xl/charts/chart33.xml" ContentType="application/vnd.openxmlformats-officedocument.drawingml.chart+xml"/>
  <Override PartName="/xl/charts/chart16.xml" ContentType="application/vnd.openxmlformats-officedocument.drawingml.chart+xml"/>
  <Override PartName="/xl/worksheets/sheet12.xml" ContentType="application/vnd.openxmlformats-officedocument.spreadsheetml.worksheet+xml"/>
  <Override PartName="/xl/charts/chart25.xml" ContentType="application/vnd.openxmlformats-officedocument.drawingml.chart+xml"/>
  <Override PartName="/docProps/app.xml" ContentType="application/vnd.openxmlformats-officedocument.extended-properties+xml"/>
  <Override PartName="/xl/charts/chart40.xml" ContentType="application/vnd.openxmlformats-officedocument.drawingml.chart+xml"/>
  <Override PartName="/xl/charts/chart56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1.xml" ContentType="application/vnd.openxmlformats-officedocument.drawingml.chart+xml"/>
  <Override PartName="/xl/worksheets/sheet4.xml" ContentType="application/vnd.openxmlformats-officedocument.spreadsheetml.worksheet+xml"/>
  <Override PartName="/xl/charts/chart32.xml" ContentType="application/vnd.openxmlformats-officedocument.drawingml.chart+xml"/>
  <Override PartName="/xl/charts/chart48.xml" ContentType="application/vnd.openxmlformats-officedocument.drawingml.chart+xml"/>
  <Override PartName="/xl/charts/chart15.xml" ContentType="application/vnd.openxmlformats-officedocument.drawingml.chart+xml"/>
  <Override PartName="/xl/charts/chart9.xml" ContentType="application/vnd.openxmlformats-officedocument.drawingml.chart+xml"/>
  <Override PartName="/xl/worksheets/sheet11.xml" ContentType="application/vnd.openxmlformats-officedocument.spreadsheetml.worksheet+xml"/>
  <Override PartName="/xl/charts/chart24.xml" ContentType="application/vnd.openxmlformats-officedocument.drawingml.chart+xml"/>
  <Override PartName="/xl/worksheets/sheet2.xml" ContentType="application/vnd.openxmlformats-officedocument.spreadsheetml.worksheet+xml"/>
  <Override PartName="/xl/charts/chart46.xml" ContentType="application/vnd.openxmlformats-officedocument.drawingml.chart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charts/chart55.xml" ContentType="application/vnd.openxmlformats-officedocument.drawingml.chart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chart38.xml" ContentType="application/vnd.openxmlformats-officedocument.drawingml.chart+xml"/>
  <Override PartName="/xl/worksheets/sheet3.xml" ContentType="application/vnd.openxmlformats-officedocument.spreadsheetml.worksheet+xml"/>
  <Override PartName="/xl/charts/chart31.xml" ContentType="application/vnd.openxmlformats-officedocument.drawingml.chart+xml"/>
  <Override PartName="/xl/charts/chart47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worksheets/sheet10.xml" ContentType="application/vnd.openxmlformats-officedocument.spreadsheetml.worksheet+xml"/>
  <Override PartName="/xl/charts/chart23.xml" ContentType="application/vnd.openxmlformats-officedocument.drawingml.chart+xml"/>
  <Override PartName="/xl/worksheets/sheet1.xml" ContentType="application/vnd.openxmlformats-officedocument.spreadsheetml.worksheet+xml"/>
  <Override PartName="/xl/charts/chart45.xml" ContentType="application/vnd.openxmlformats-officedocument.drawingml.chart+xml"/>
  <Override PartName="/xl/drawings/drawing8.xml" ContentType="application/vnd.openxmlformats-officedocument.drawing+xml"/>
  <Override PartName="/xl/charts/chart54.xml" ContentType="application/vnd.openxmlformats-officedocument.drawingml.char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worksheets/sheet9.xml" ContentType="application/vnd.openxmlformats-officedocument.spreadsheetml.worksheet+xml"/>
  <Override PartName="/xl/charts/chart37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Default Extension="rels" ContentType="application/vnd.openxmlformats-package.relationships+xml"/>
  <Override PartName="/xl/charts/chart13.xml" ContentType="application/vnd.openxmlformats-officedocument.drawingml.chart+xml"/>
  <Override PartName="/xl/charts/chart29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1200" yWindow="0" windowWidth="35500" windowHeight="24360" tabRatio="500" firstSheet="7" activeTab="14"/>
  </bookViews>
  <sheets>
    <sheet name="efficacité" sheetId="2" r:id="rId1"/>
    <sheet name="5017-620Kv" sheetId="1" r:id="rId2"/>
    <sheet name="AX2810Q-750Kv" sheetId="6" r:id="rId3"/>
    <sheet name="3508-380Kv" sheetId="5" r:id="rId4"/>
    <sheet name="4225-390Kv" sheetId="3" r:id="rId5"/>
    <sheet name="4010-375Kv" sheetId="4" r:id="rId6"/>
    <sheet name="4230-400Kv" sheetId="8" r:id="rId7"/>
    <sheet name="4822-390Kv" sheetId="9" r:id="rId8"/>
    <sheet name="4010-485KV" sheetId="10" r:id="rId9"/>
    <sheet name="AX-4008Q-620Kv" sheetId="7" r:id="rId10"/>
    <sheet name="13x4" sheetId="11" r:id="rId11"/>
    <sheet name="temps vol" sheetId="13" r:id="rId12"/>
    <sheet name="poids_temps de vol" sheetId="14" r:id="rId13"/>
    <sheet name="machine perso" sheetId="15" r:id="rId14"/>
    <sheet name="adapt. Rc" sheetId="16" r:id="rId15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D139" i="11"/>
  <c r="AC139"/>
  <c r="AB139"/>
  <c r="AA139"/>
  <c r="W139"/>
  <c r="S139"/>
  <c r="E123"/>
  <c r="AD138"/>
  <c r="E122"/>
  <c r="AC138"/>
  <c r="E120"/>
  <c r="AB138"/>
  <c r="B120"/>
  <c r="X138"/>
  <c r="AA138"/>
  <c r="W138"/>
  <c r="S138"/>
  <c r="E110"/>
  <c r="AD137"/>
  <c r="E109"/>
  <c r="AC137"/>
  <c r="E107"/>
  <c r="AB137"/>
  <c r="B107"/>
  <c r="X137"/>
  <c r="AA137"/>
  <c r="D107"/>
  <c r="Y137"/>
  <c r="W137"/>
  <c r="S137"/>
  <c r="E84"/>
  <c r="AD136"/>
  <c r="E83"/>
  <c r="AC136"/>
  <c r="E81"/>
  <c r="AB136"/>
  <c r="B81"/>
  <c r="X136"/>
  <c r="AA136"/>
  <c r="W136"/>
  <c r="S136"/>
  <c r="E71"/>
  <c r="AD135"/>
  <c r="E70"/>
  <c r="AC135"/>
  <c r="E68"/>
  <c r="AB135"/>
  <c r="B68"/>
  <c r="X135"/>
  <c r="AA135"/>
  <c r="W135"/>
  <c r="S135"/>
  <c r="E97"/>
  <c r="AD134"/>
  <c r="E96"/>
  <c r="AC134"/>
  <c r="E94"/>
  <c r="AB134"/>
  <c r="B94"/>
  <c r="X134"/>
  <c r="AA134"/>
  <c r="D94"/>
  <c r="Y134"/>
  <c r="W134"/>
  <c r="S134"/>
  <c r="E45"/>
  <c r="AD133"/>
  <c r="E44"/>
  <c r="AC133"/>
  <c r="E42"/>
  <c r="AB133"/>
  <c r="B42"/>
  <c r="X133"/>
  <c r="AA133"/>
  <c r="D42"/>
  <c r="Y133"/>
  <c r="W133"/>
  <c r="S133"/>
  <c r="E58"/>
  <c r="AD132"/>
  <c r="E57"/>
  <c r="AC132"/>
  <c r="E55"/>
  <c r="AB132"/>
  <c r="B55"/>
  <c r="X132"/>
  <c r="AA132"/>
  <c r="D55"/>
  <c r="Y132"/>
  <c r="W132"/>
  <c r="S132"/>
  <c r="E32"/>
  <c r="AD131"/>
  <c r="E31"/>
  <c r="AC131"/>
  <c r="E29"/>
  <c r="AB131"/>
  <c r="B29"/>
  <c r="X131"/>
  <c r="AA131"/>
  <c r="W131"/>
  <c r="S131"/>
  <c r="L124"/>
  <c r="Q124"/>
  <c r="P124"/>
  <c r="O124"/>
  <c r="N124"/>
  <c r="M124"/>
  <c r="K124"/>
  <c r="J124"/>
  <c r="I124"/>
  <c r="H124"/>
  <c r="G124"/>
  <c r="F124"/>
  <c r="E124"/>
  <c r="D124"/>
  <c r="W123"/>
  <c r="V123"/>
  <c r="U123"/>
  <c r="F123"/>
  <c r="K123"/>
  <c r="R123"/>
  <c r="L123"/>
  <c r="Q123"/>
  <c r="P123"/>
  <c r="O123"/>
  <c r="N123"/>
  <c r="M123"/>
  <c r="J123"/>
  <c r="I123"/>
  <c r="H123"/>
  <c r="G123"/>
  <c r="D123"/>
  <c r="U122"/>
  <c r="F122"/>
  <c r="K122"/>
  <c r="R122"/>
  <c r="L122"/>
  <c r="Q122"/>
  <c r="P122"/>
  <c r="O122"/>
  <c r="N122"/>
  <c r="M122"/>
  <c r="J122"/>
  <c r="I122"/>
  <c r="H122"/>
  <c r="G122"/>
  <c r="D122"/>
  <c r="B122"/>
  <c r="F121"/>
  <c r="K121"/>
  <c r="R121"/>
  <c r="L121"/>
  <c r="Q121"/>
  <c r="P121"/>
  <c r="O121"/>
  <c r="N121"/>
  <c r="M121"/>
  <c r="J121"/>
  <c r="I121"/>
  <c r="H121"/>
  <c r="G121"/>
  <c r="E121"/>
  <c r="D121"/>
  <c r="B121"/>
  <c r="V120"/>
  <c r="U120"/>
  <c r="F120"/>
  <c r="K120"/>
  <c r="R120"/>
  <c r="L120"/>
  <c r="Q120"/>
  <c r="P120"/>
  <c r="O120"/>
  <c r="N120"/>
  <c r="M120"/>
  <c r="J120"/>
  <c r="I120"/>
  <c r="H120"/>
  <c r="G120"/>
  <c r="D120"/>
  <c r="L119"/>
  <c r="Q119"/>
  <c r="P119"/>
  <c r="O119"/>
  <c r="N119"/>
  <c r="M119"/>
  <c r="K119"/>
  <c r="J119"/>
  <c r="I119"/>
  <c r="H119"/>
  <c r="G119"/>
  <c r="F119"/>
  <c r="E119"/>
  <c r="D119"/>
  <c r="B119"/>
  <c r="B118"/>
  <c r="O116"/>
  <c r="L111"/>
  <c r="Q111"/>
  <c r="P111"/>
  <c r="O111"/>
  <c r="N111"/>
  <c r="M111"/>
  <c r="K111"/>
  <c r="J111"/>
  <c r="I111"/>
  <c r="H111"/>
  <c r="G111"/>
  <c r="F111"/>
  <c r="E111"/>
  <c r="D111"/>
  <c r="W110"/>
  <c r="V110"/>
  <c r="U110"/>
  <c r="F110"/>
  <c r="K110"/>
  <c r="R110"/>
  <c r="L110"/>
  <c r="Q110"/>
  <c r="P110"/>
  <c r="O110"/>
  <c r="N110"/>
  <c r="M110"/>
  <c r="J110"/>
  <c r="I110"/>
  <c r="H110"/>
  <c r="G110"/>
  <c r="D110"/>
  <c r="U109"/>
  <c r="F109"/>
  <c r="K109"/>
  <c r="R109"/>
  <c r="L109"/>
  <c r="Q109"/>
  <c r="P109"/>
  <c r="O109"/>
  <c r="N109"/>
  <c r="M109"/>
  <c r="J109"/>
  <c r="I109"/>
  <c r="H109"/>
  <c r="G109"/>
  <c r="D109"/>
  <c r="B109"/>
  <c r="F108"/>
  <c r="K108"/>
  <c r="R108"/>
  <c r="L108"/>
  <c r="Q108"/>
  <c r="P108"/>
  <c r="O108"/>
  <c r="N108"/>
  <c r="M108"/>
  <c r="J108"/>
  <c r="I108"/>
  <c r="H108"/>
  <c r="G108"/>
  <c r="E108"/>
  <c r="D108"/>
  <c r="B108"/>
  <c r="V107"/>
  <c r="U107"/>
  <c r="F107"/>
  <c r="K107"/>
  <c r="R107"/>
  <c r="L107"/>
  <c r="Q107"/>
  <c r="P107"/>
  <c r="O107"/>
  <c r="N107"/>
  <c r="M107"/>
  <c r="J107"/>
  <c r="I107"/>
  <c r="H107"/>
  <c r="G107"/>
  <c r="L106"/>
  <c r="Q106"/>
  <c r="P106"/>
  <c r="O106"/>
  <c r="N106"/>
  <c r="M106"/>
  <c r="K106"/>
  <c r="J106"/>
  <c r="I106"/>
  <c r="H106"/>
  <c r="G106"/>
  <c r="F106"/>
  <c r="E106"/>
  <c r="D106"/>
  <c r="B106"/>
  <c r="B105"/>
  <c r="O103"/>
  <c r="L98"/>
  <c r="Q98"/>
  <c r="P98"/>
  <c r="O98"/>
  <c r="N98"/>
  <c r="M98"/>
  <c r="K98"/>
  <c r="J98"/>
  <c r="I98"/>
  <c r="H98"/>
  <c r="G98"/>
  <c r="F98"/>
  <c r="E98"/>
  <c r="D98"/>
  <c r="W97"/>
  <c r="V97"/>
  <c r="U97"/>
  <c r="F97"/>
  <c r="K97"/>
  <c r="R97"/>
  <c r="L97"/>
  <c r="Q97"/>
  <c r="P97"/>
  <c r="O97"/>
  <c r="N97"/>
  <c r="M97"/>
  <c r="J97"/>
  <c r="I97"/>
  <c r="H97"/>
  <c r="G97"/>
  <c r="D97"/>
  <c r="U96"/>
  <c r="F96"/>
  <c r="K96"/>
  <c r="R96"/>
  <c r="L96"/>
  <c r="Q96"/>
  <c r="P96"/>
  <c r="O96"/>
  <c r="N96"/>
  <c r="M96"/>
  <c r="J96"/>
  <c r="I96"/>
  <c r="H96"/>
  <c r="G96"/>
  <c r="D96"/>
  <c r="B96"/>
  <c r="F95"/>
  <c r="K95"/>
  <c r="R95"/>
  <c r="L95"/>
  <c r="Q95"/>
  <c r="P95"/>
  <c r="O95"/>
  <c r="N95"/>
  <c r="M95"/>
  <c r="J95"/>
  <c r="I95"/>
  <c r="H95"/>
  <c r="G95"/>
  <c r="E95"/>
  <c r="D95"/>
  <c r="B95"/>
  <c r="V94"/>
  <c r="U94"/>
  <c r="F94"/>
  <c r="K94"/>
  <c r="R94"/>
  <c r="L94"/>
  <c r="Q94"/>
  <c r="P94"/>
  <c r="O94"/>
  <c r="N94"/>
  <c r="M94"/>
  <c r="J94"/>
  <c r="I94"/>
  <c r="H94"/>
  <c r="G94"/>
  <c r="L93"/>
  <c r="Q93"/>
  <c r="P93"/>
  <c r="O93"/>
  <c r="N93"/>
  <c r="M93"/>
  <c r="K93"/>
  <c r="J93"/>
  <c r="I93"/>
  <c r="H93"/>
  <c r="G93"/>
  <c r="F93"/>
  <c r="E93"/>
  <c r="D93"/>
  <c r="B93"/>
  <c r="B92"/>
  <c r="O90"/>
  <c r="L85"/>
  <c r="Q85"/>
  <c r="P85"/>
  <c r="O85"/>
  <c r="N85"/>
  <c r="M85"/>
  <c r="K85"/>
  <c r="J85"/>
  <c r="I85"/>
  <c r="H85"/>
  <c r="G85"/>
  <c r="F85"/>
  <c r="E85"/>
  <c r="D85"/>
  <c r="W84"/>
  <c r="V84"/>
  <c r="U84"/>
  <c r="F84"/>
  <c r="K84"/>
  <c r="R84"/>
  <c r="L84"/>
  <c r="Q84"/>
  <c r="P84"/>
  <c r="O84"/>
  <c r="N84"/>
  <c r="M84"/>
  <c r="J84"/>
  <c r="I84"/>
  <c r="H84"/>
  <c r="G84"/>
  <c r="D84"/>
  <c r="U83"/>
  <c r="F83"/>
  <c r="K83"/>
  <c r="R83"/>
  <c r="L83"/>
  <c r="Q83"/>
  <c r="P83"/>
  <c r="O83"/>
  <c r="N83"/>
  <c r="M83"/>
  <c r="J83"/>
  <c r="I83"/>
  <c r="H83"/>
  <c r="G83"/>
  <c r="D83"/>
  <c r="B83"/>
  <c r="F82"/>
  <c r="K82"/>
  <c r="R82"/>
  <c r="L82"/>
  <c r="Q82"/>
  <c r="P82"/>
  <c r="O82"/>
  <c r="N82"/>
  <c r="M82"/>
  <c r="J82"/>
  <c r="I82"/>
  <c r="H82"/>
  <c r="G82"/>
  <c r="E82"/>
  <c r="D82"/>
  <c r="B82"/>
  <c r="V81"/>
  <c r="U81"/>
  <c r="F81"/>
  <c r="K81"/>
  <c r="R81"/>
  <c r="L81"/>
  <c r="Q81"/>
  <c r="P81"/>
  <c r="O81"/>
  <c r="N81"/>
  <c r="M81"/>
  <c r="J81"/>
  <c r="I81"/>
  <c r="H81"/>
  <c r="G81"/>
  <c r="D81"/>
  <c r="L80"/>
  <c r="Q80"/>
  <c r="P80"/>
  <c r="O80"/>
  <c r="N80"/>
  <c r="M80"/>
  <c r="K80"/>
  <c r="J80"/>
  <c r="I80"/>
  <c r="H80"/>
  <c r="G80"/>
  <c r="F80"/>
  <c r="E80"/>
  <c r="D80"/>
  <c r="B80"/>
  <c r="B79"/>
  <c r="O77"/>
  <c r="L72"/>
  <c r="Q72"/>
  <c r="P72"/>
  <c r="O72"/>
  <c r="N72"/>
  <c r="M72"/>
  <c r="K72"/>
  <c r="J72"/>
  <c r="I72"/>
  <c r="H72"/>
  <c r="G72"/>
  <c r="F72"/>
  <c r="E72"/>
  <c r="D72"/>
  <c r="W71"/>
  <c r="V71"/>
  <c r="U71"/>
  <c r="F71"/>
  <c r="K71"/>
  <c r="R71"/>
  <c r="L71"/>
  <c r="Q71"/>
  <c r="P71"/>
  <c r="O71"/>
  <c r="N71"/>
  <c r="M71"/>
  <c r="J71"/>
  <c r="I71"/>
  <c r="H71"/>
  <c r="G71"/>
  <c r="D71"/>
  <c r="U70"/>
  <c r="F70"/>
  <c r="K70"/>
  <c r="R70"/>
  <c r="L70"/>
  <c r="Q70"/>
  <c r="P70"/>
  <c r="O70"/>
  <c r="N70"/>
  <c r="M70"/>
  <c r="J70"/>
  <c r="I70"/>
  <c r="H70"/>
  <c r="G70"/>
  <c r="D70"/>
  <c r="B70"/>
  <c r="F69"/>
  <c r="K69"/>
  <c r="R69"/>
  <c r="L69"/>
  <c r="Q69"/>
  <c r="P69"/>
  <c r="O69"/>
  <c r="N69"/>
  <c r="M69"/>
  <c r="J69"/>
  <c r="I69"/>
  <c r="H69"/>
  <c r="G69"/>
  <c r="E69"/>
  <c r="D69"/>
  <c r="B69"/>
  <c r="V68"/>
  <c r="U68"/>
  <c r="F68"/>
  <c r="K68"/>
  <c r="R68"/>
  <c r="L68"/>
  <c r="Q68"/>
  <c r="P68"/>
  <c r="O68"/>
  <c r="N68"/>
  <c r="M68"/>
  <c r="J68"/>
  <c r="I68"/>
  <c r="H68"/>
  <c r="G68"/>
  <c r="D68"/>
  <c r="L67"/>
  <c r="Q67"/>
  <c r="P67"/>
  <c r="O67"/>
  <c r="N67"/>
  <c r="M67"/>
  <c r="K67"/>
  <c r="J67"/>
  <c r="I67"/>
  <c r="H67"/>
  <c r="G67"/>
  <c r="F67"/>
  <c r="E67"/>
  <c r="D67"/>
  <c r="B67"/>
  <c r="B66"/>
  <c r="O64"/>
  <c r="L59"/>
  <c r="Q59"/>
  <c r="P59"/>
  <c r="O59"/>
  <c r="N59"/>
  <c r="M59"/>
  <c r="K59"/>
  <c r="J59"/>
  <c r="I59"/>
  <c r="H59"/>
  <c r="G59"/>
  <c r="F59"/>
  <c r="E59"/>
  <c r="D59"/>
  <c r="W58"/>
  <c r="V58"/>
  <c r="U58"/>
  <c r="F58"/>
  <c r="K58"/>
  <c r="R58"/>
  <c r="L58"/>
  <c r="Q58"/>
  <c r="P58"/>
  <c r="O58"/>
  <c r="N58"/>
  <c r="M58"/>
  <c r="J58"/>
  <c r="I58"/>
  <c r="H58"/>
  <c r="G58"/>
  <c r="D58"/>
  <c r="U57"/>
  <c r="F57"/>
  <c r="K57"/>
  <c r="R57"/>
  <c r="L57"/>
  <c r="Q57"/>
  <c r="P57"/>
  <c r="O57"/>
  <c r="N57"/>
  <c r="M57"/>
  <c r="J57"/>
  <c r="I57"/>
  <c r="H57"/>
  <c r="G57"/>
  <c r="D57"/>
  <c r="B57"/>
  <c r="F56"/>
  <c r="K56"/>
  <c r="R56"/>
  <c r="L56"/>
  <c r="Q56"/>
  <c r="P56"/>
  <c r="O56"/>
  <c r="N56"/>
  <c r="M56"/>
  <c r="J56"/>
  <c r="I56"/>
  <c r="H56"/>
  <c r="G56"/>
  <c r="E56"/>
  <c r="D56"/>
  <c r="B56"/>
  <c r="V55"/>
  <c r="U55"/>
  <c r="F55"/>
  <c r="K55"/>
  <c r="R55"/>
  <c r="L55"/>
  <c r="Q55"/>
  <c r="P55"/>
  <c r="O55"/>
  <c r="N55"/>
  <c r="M55"/>
  <c r="J55"/>
  <c r="I55"/>
  <c r="H55"/>
  <c r="G55"/>
  <c r="L54"/>
  <c r="Q54"/>
  <c r="P54"/>
  <c r="O54"/>
  <c r="N54"/>
  <c r="M54"/>
  <c r="K54"/>
  <c r="J54"/>
  <c r="I54"/>
  <c r="H54"/>
  <c r="G54"/>
  <c r="F54"/>
  <c r="E54"/>
  <c r="B54"/>
  <c r="B53"/>
  <c r="O51"/>
  <c r="L46"/>
  <c r="Q46"/>
  <c r="P46"/>
  <c r="O46"/>
  <c r="N46"/>
  <c r="M46"/>
  <c r="K46"/>
  <c r="J46"/>
  <c r="I46"/>
  <c r="H46"/>
  <c r="G46"/>
  <c r="F46"/>
  <c r="E46"/>
  <c r="D46"/>
  <c r="W45"/>
  <c r="V45"/>
  <c r="U45"/>
  <c r="F45"/>
  <c r="K45"/>
  <c r="R45"/>
  <c r="L45"/>
  <c r="Q45"/>
  <c r="P45"/>
  <c r="O45"/>
  <c r="N45"/>
  <c r="M45"/>
  <c r="J45"/>
  <c r="I45"/>
  <c r="H45"/>
  <c r="G45"/>
  <c r="D45"/>
  <c r="U44"/>
  <c r="F44"/>
  <c r="K44"/>
  <c r="R44"/>
  <c r="L44"/>
  <c r="Q44"/>
  <c r="P44"/>
  <c r="O44"/>
  <c r="N44"/>
  <c r="M44"/>
  <c r="J44"/>
  <c r="I44"/>
  <c r="H44"/>
  <c r="G44"/>
  <c r="D44"/>
  <c r="B44"/>
  <c r="F43"/>
  <c r="K43"/>
  <c r="R43"/>
  <c r="L43"/>
  <c r="Q43"/>
  <c r="P43"/>
  <c r="O43"/>
  <c r="N43"/>
  <c r="M43"/>
  <c r="J43"/>
  <c r="I43"/>
  <c r="H43"/>
  <c r="G43"/>
  <c r="E43"/>
  <c r="D43"/>
  <c r="B43"/>
  <c r="V42"/>
  <c r="U42"/>
  <c r="F42"/>
  <c r="K42"/>
  <c r="R42"/>
  <c r="L42"/>
  <c r="Q42"/>
  <c r="P42"/>
  <c r="O42"/>
  <c r="N42"/>
  <c r="M42"/>
  <c r="J42"/>
  <c r="I42"/>
  <c r="H42"/>
  <c r="G42"/>
  <c r="L41"/>
  <c r="Q41"/>
  <c r="P41"/>
  <c r="O41"/>
  <c r="N41"/>
  <c r="M41"/>
  <c r="K41"/>
  <c r="J41"/>
  <c r="I41"/>
  <c r="H41"/>
  <c r="G41"/>
  <c r="F41"/>
  <c r="E41"/>
  <c r="D41"/>
  <c r="B41"/>
  <c r="B40"/>
  <c r="O38"/>
  <c r="L33"/>
  <c r="Q33"/>
  <c r="P33"/>
  <c r="O33"/>
  <c r="N33"/>
  <c r="M33"/>
  <c r="K33"/>
  <c r="J33"/>
  <c r="I33"/>
  <c r="H33"/>
  <c r="G33"/>
  <c r="F33"/>
  <c r="E33"/>
  <c r="D33"/>
  <c r="W32"/>
  <c r="V32"/>
  <c r="U32"/>
  <c r="F32"/>
  <c r="K32"/>
  <c r="R32"/>
  <c r="L32"/>
  <c r="Q32"/>
  <c r="P32"/>
  <c r="O32"/>
  <c r="N32"/>
  <c r="M32"/>
  <c r="J32"/>
  <c r="I32"/>
  <c r="H32"/>
  <c r="G32"/>
  <c r="D32"/>
  <c r="U31"/>
  <c r="F31"/>
  <c r="K31"/>
  <c r="R31"/>
  <c r="L31"/>
  <c r="Q31"/>
  <c r="P31"/>
  <c r="O31"/>
  <c r="N31"/>
  <c r="M31"/>
  <c r="J31"/>
  <c r="I31"/>
  <c r="H31"/>
  <c r="G31"/>
  <c r="D31"/>
  <c r="B31"/>
  <c r="F30"/>
  <c r="K30"/>
  <c r="R30"/>
  <c r="L30"/>
  <c r="Q30"/>
  <c r="P30"/>
  <c r="O30"/>
  <c r="N30"/>
  <c r="M30"/>
  <c r="J30"/>
  <c r="I30"/>
  <c r="H30"/>
  <c r="G30"/>
  <c r="E30"/>
  <c r="D30"/>
  <c r="B30"/>
  <c r="V29"/>
  <c r="U29"/>
  <c r="F29"/>
  <c r="K29"/>
  <c r="R29"/>
  <c r="L29"/>
  <c r="Q29"/>
  <c r="P29"/>
  <c r="O29"/>
  <c r="N29"/>
  <c r="M29"/>
  <c r="J29"/>
  <c r="I29"/>
  <c r="H29"/>
  <c r="G29"/>
  <c r="D29"/>
  <c r="L28"/>
  <c r="Q28"/>
  <c r="P28"/>
  <c r="O28"/>
  <c r="N28"/>
  <c r="M28"/>
  <c r="K28"/>
  <c r="J28"/>
  <c r="I28"/>
  <c r="H28"/>
  <c r="G28"/>
  <c r="F28"/>
  <c r="E28"/>
  <c r="D28"/>
  <c r="B28"/>
  <c r="B27"/>
  <c r="O25"/>
  <c r="Q19"/>
  <c r="P19"/>
  <c r="O19"/>
  <c r="N19"/>
  <c r="M19"/>
  <c r="L19"/>
  <c r="K19"/>
  <c r="J19"/>
  <c r="I19"/>
  <c r="H19"/>
  <c r="G19"/>
  <c r="F19"/>
  <c r="E19"/>
  <c r="W18"/>
  <c r="V18"/>
  <c r="U18"/>
  <c r="R18"/>
  <c r="Q18"/>
  <c r="P18"/>
  <c r="O18"/>
  <c r="N18"/>
  <c r="M18"/>
  <c r="L18"/>
  <c r="K18"/>
  <c r="J18"/>
  <c r="I18"/>
  <c r="H18"/>
  <c r="G18"/>
  <c r="F18"/>
  <c r="E18"/>
  <c r="U17"/>
  <c r="R17"/>
  <c r="Q17"/>
  <c r="P17"/>
  <c r="O17"/>
  <c r="N17"/>
  <c r="M17"/>
  <c r="L17"/>
  <c r="K17"/>
  <c r="J17"/>
  <c r="I17"/>
  <c r="H17"/>
  <c r="G17"/>
  <c r="F17"/>
  <c r="E17"/>
  <c r="R16"/>
  <c r="Q16"/>
  <c r="P16"/>
  <c r="O16"/>
  <c r="N16"/>
  <c r="M16"/>
  <c r="L16"/>
  <c r="K16"/>
  <c r="J16"/>
  <c r="I16"/>
  <c r="H16"/>
  <c r="G16"/>
  <c r="F16"/>
  <c r="E16"/>
  <c r="V15"/>
  <c r="U15"/>
  <c r="Q15"/>
  <c r="P15"/>
  <c r="O15"/>
  <c r="N15"/>
  <c r="M15"/>
  <c r="L15"/>
  <c r="K15"/>
  <c r="J15"/>
  <c r="I15"/>
  <c r="H15"/>
  <c r="G15"/>
  <c r="F15"/>
  <c r="E15"/>
  <c r="B15"/>
  <c r="Q14"/>
  <c r="P14"/>
  <c r="O14"/>
  <c r="N14"/>
  <c r="M14"/>
  <c r="L14"/>
  <c r="K14"/>
  <c r="J14"/>
  <c r="I14"/>
  <c r="H14"/>
  <c r="G14"/>
  <c r="F14"/>
  <c r="E14"/>
  <c r="B14"/>
  <c r="B13"/>
  <c r="Z12"/>
  <c r="Y12"/>
  <c r="Z11"/>
  <c r="Y11"/>
  <c r="O11"/>
  <c r="Z10"/>
  <c r="Y10"/>
  <c r="Z7"/>
  <c r="Y7"/>
  <c r="W7"/>
  <c r="V7"/>
  <c r="U7"/>
  <c r="T7"/>
  <c r="S7"/>
  <c r="R7"/>
  <c r="Q7"/>
  <c r="P7"/>
  <c r="N7"/>
  <c r="M7"/>
  <c r="K7"/>
  <c r="J7"/>
  <c r="H7"/>
  <c r="G7"/>
  <c r="Q4"/>
  <c r="P99" i="5"/>
  <c r="O99"/>
  <c r="N99"/>
  <c r="M99"/>
  <c r="L99"/>
  <c r="K99"/>
  <c r="J99"/>
  <c r="I99"/>
  <c r="H99"/>
  <c r="G99"/>
  <c r="F99"/>
  <c r="E99"/>
  <c r="P98"/>
  <c r="O98"/>
  <c r="N98"/>
  <c r="M98"/>
  <c r="L98"/>
  <c r="K98"/>
  <c r="J98"/>
  <c r="I98"/>
  <c r="H98"/>
  <c r="G98"/>
  <c r="F98"/>
  <c r="E98"/>
  <c r="P97"/>
  <c r="O97"/>
  <c r="N97"/>
  <c r="M97"/>
  <c r="L97"/>
  <c r="K97"/>
  <c r="J97"/>
  <c r="I97"/>
  <c r="H97"/>
  <c r="G97"/>
  <c r="F97"/>
  <c r="E97"/>
  <c r="P96"/>
  <c r="O96"/>
  <c r="N96"/>
  <c r="M96"/>
  <c r="L96"/>
  <c r="K96"/>
  <c r="J96"/>
  <c r="I96"/>
  <c r="H96"/>
  <c r="G96"/>
  <c r="F96"/>
  <c r="E96"/>
  <c r="P95"/>
  <c r="O95"/>
  <c r="N95"/>
  <c r="M95"/>
  <c r="L95"/>
  <c r="K95"/>
  <c r="J95"/>
  <c r="I95"/>
  <c r="H95"/>
  <c r="G95"/>
  <c r="F95"/>
  <c r="E95"/>
  <c r="P94"/>
  <c r="O94"/>
  <c r="N94"/>
  <c r="M94"/>
  <c r="L94"/>
  <c r="K94"/>
  <c r="J94"/>
  <c r="I94"/>
  <c r="H94"/>
  <c r="G94"/>
  <c r="F94"/>
  <c r="E94"/>
  <c r="P93"/>
  <c r="O93"/>
  <c r="N93"/>
  <c r="M93"/>
  <c r="L93"/>
  <c r="K93"/>
  <c r="J93"/>
  <c r="I93"/>
  <c r="H93"/>
  <c r="G93"/>
  <c r="F93"/>
  <c r="E93"/>
  <c r="P92"/>
  <c r="O92"/>
  <c r="N92"/>
  <c r="M92"/>
  <c r="L92"/>
  <c r="K92"/>
  <c r="J92"/>
  <c r="I92"/>
  <c r="H92"/>
  <c r="G92"/>
  <c r="F92"/>
  <c r="E92"/>
  <c r="P91"/>
  <c r="O91"/>
  <c r="N91"/>
  <c r="M91"/>
  <c r="L91"/>
  <c r="K91"/>
  <c r="J91"/>
  <c r="I91"/>
  <c r="H91"/>
  <c r="G91"/>
  <c r="F91"/>
  <c r="E91"/>
  <c r="P90"/>
  <c r="O90"/>
  <c r="N90"/>
  <c r="M90"/>
  <c r="L90"/>
  <c r="K90"/>
  <c r="J90"/>
  <c r="I90"/>
  <c r="H90"/>
  <c r="G90"/>
  <c r="F90"/>
  <c r="E90"/>
  <c r="P89"/>
  <c r="O89"/>
  <c r="N89"/>
  <c r="M89"/>
  <c r="L89"/>
  <c r="K89"/>
  <c r="J89"/>
  <c r="I89"/>
  <c r="H89"/>
  <c r="G89"/>
  <c r="F89"/>
  <c r="E89"/>
  <c r="P88"/>
  <c r="O88"/>
  <c r="N88"/>
  <c r="M88"/>
  <c r="L88"/>
  <c r="K88"/>
  <c r="J88"/>
  <c r="I88"/>
  <c r="H88"/>
  <c r="G88"/>
  <c r="F88"/>
  <c r="E88"/>
  <c r="P78"/>
  <c r="O78"/>
  <c r="N78"/>
  <c r="M78"/>
  <c r="L78"/>
  <c r="K78"/>
  <c r="J78"/>
  <c r="I78"/>
  <c r="H78"/>
  <c r="G78"/>
  <c r="F78"/>
  <c r="E78"/>
  <c r="P77"/>
  <c r="O77"/>
  <c r="N77"/>
  <c r="M77"/>
  <c r="L77"/>
  <c r="K77"/>
  <c r="J77"/>
  <c r="I77"/>
  <c r="H77"/>
  <c r="G77"/>
  <c r="F77"/>
  <c r="E77"/>
  <c r="P76"/>
  <c r="O76"/>
  <c r="N76"/>
  <c r="M76"/>
  <c r="L76"/>
  <c r="K76"/>
  <c r="J76"/>
  <c r="I76"/>
  <c r="H76"/>
  <c r="G76"/>
  <c r="F76"/>
  <c r="E76"/>
  <c r="P75"/>
  <c r="O75"/>
  <c r="N75"/>
  <c r="M75"/>
  <c r="L75"/>
  <c r="K75"/>
  <c r="J75"/>
  <c r="I75"/>
  <c r="H75"/>
  <c r="G75"/>
  <c r="F75"/>
  <c r="E75"/>
  <c r="P74"/>
  <c r="O74"/>
  <c r="N74"/>
  <c r="M74"/>
  <c r="L74"/>
  <c r="K74"/>
  <c r="J74"/>
  <c r="I74"/>
  <c r="H74"/>
  <c r="G74"/>
  <c r="F74"/>
  <c r="E74"/>
  <c r="P73"/>
  <c r="O73"/>
  <c r="N73"/>
  <c r="M73"/>
  <c r="L73"/>
  <c r="K73"/>
  <c r="J73"/>
  <c r="I73"/>
  <c r="H73"/>
  <c r="G73"/>
  <c r="F73"/>
  <c r="E73"/>
  <c r="P72"/>
  <c r="O72"/>
  <c r="N72"/>
  <c r="M72"/>
  <c r="L72"/>
  <c r="K72"/>
  <c r="J72"/>
  <c r="I72"/>
  <c r="H72"/>
  <c r="G72"/>
  <c r="F72"/>
  <c r="E72"/>
  <c r="P71"/>
  <c r="O71"/>
  <c r="N71"/>
  <c r="M71"/>
  <c r="L71"/>
  <c r="K71"/>
  <c r="J71"/>
  <c r="I71"/>
  <c r="H71"/>
  <c r="G71"/>
  <c r="F71"/>
  <c r="E71"/>
  <c r="P60"/>
  <c r="O60"/>
  <c r="N60"/>
  <c r="M60"/>
  <c r="L60"/>
  <c r="K60"/>
  <c r="J60"/>
  <c r="I60"/>
  <c r="H60"/>
  <c r="G60"/>
  <c r="F60"/>
  <c r="E60"/>
  <c r="P59"/>
  <c r="O59"/>
  <c r="N59"/>
  <c r="M59"/>
  <c r="L59"/>
  <c r="K59"/>
  <c r="J59"/>
  <c r="I59"/>
  <c r="H59"/>
  <c r="G59"/>
  <c r="F59"/>
  <c r="E59"/>
  <c r="P58"/>
  <c r="O58"/>
  <c r="N58"/>
  <c r="M58"/>
  <c r="L58"/>
  <c r="K58"/>
  <c r="J58"/>
  <c r="I58"/>
  <c r="H58"/>
  <c r="G58"/>
  <c r="F58"/>
  <c r="E58"/>
  <c r="P57"/>
  <c r="O57"/>
  <c r="N57"/>
  <c r="M57"/>
  <c r="L57"/>
  <c r="K57"/>
  <c r="J57"/>
  <c r="I57"/>
  <c r="H57"/>
  <c r="G57"/>
  <c r="F57"/>
  <c r="E57"/>
  <c r="P56"/>
  <c r="O56"/>
  <c r="N56"/>
  <c r="M56"/>
  <c r="L56"/>
  <c r="K56"/>
  <c r="J56"/>
  <c r="I56"/>
  <c r="H56"/>
  <c r="G56"/>
  <c r="F56"/>
  <c r="E56"/>
  <c r="P55"/>
  <c r="O55"/>
  <c r="N55"/>
  <c r="M55"/>
  <c r="L55"/>
  <c r="K55"/>
  <c r="J55"/>
  <c r="I55"/>
  <c r="H55"/>
  <c r="G55"/>
  <c r="F55"/>
  <c r="E55"/>
  <c r="P54"/>
  <c r="O54"/>
  <c r="N54"/>
  <c r="M54"/>
  <c r="L54"/>
  <c r="K54"/>
  <c r="J54"/>
  <c r="I54"/>
  <c r="H54"/>
  <c r="G54"/>
  <c r="F54"/>
  <c r="E54"/>
  <c r="P44"/>
  <c r="O44"/>
  <c r="N44"/>
  <c r="M44"/>
  <c r="L44"/>
  <c r="K44"/>
  <c r="J44"/>
  <c r="I44"/>
  <c r="H44"/>
  <c r="G44"/>
  <c r="F44"/>
  <c r="E44"/>
  <c r="P43"/>
  <c r="O43"/>
  <c r="N43"/>
  <c r="M43"/>
  <c r="L43"/>
  <c r="K43"/>
  <c r="J43"/>
  <c r="I43"/>
  <c r="H43"/>
  <c r="G43"/>
  <c r="F43"/>
  <c r="E43"/>
  <c r="P42"/>
  <c r="O42"/>
  <c r="N42"/>
  <c r="M42"/>
  <c r="L42"/>
  <c r="K42"/>
  <c r="J42"/>
  <c r="I42"/>
  <c r="H42"/>
  <c r="G42"/>
  <c r="F42"/>
  <c r="E42"/>
  <c r="P41"/>
  <c r="O41"/>
  <c r="N41"/>
  <c r="M41"/>
  <c r="L41"/>
  <c r="K41"/>
  <c r="J41"/>
  <c r="I41"/>
  <c r="H41"/>
  <c r="G41"/>
  <c r="F41"/>
  <c r="E41"/>
  <c r="P40"/>
  <c r="O40"/>
  <c r="N40"/>
  <c r="M40"/>
  <c r="L40"/>
  <c r="K40"/>
  <c r="J40"/>
  <c r="I40"/>
  <c r="H40"/>
  <c r="G40"/>
  <c r="F40"/>
  <c r="E40"/>
  <c r="P39"/>
  <c r="O39"/>
  <c r="N39"/>
  <c r="M39"/>
  <c r="L39"/>
  <c r="K39"/>
  <c r="J39"/>
  <c r="I39"/>
  <c r="H39"/>
  <c r="G39"/>
  <c r="F39"/>
  <c r="E39"/>
  <c r="P38"/>
  <c r="O38"/>
  <c r="N38"/>
  <c r="M38"/>
  <c r="L38"/>
  <c r="K38"/>
  <c r="J38"/>
  <c r="I38"/>
  <c r="H38"/>
  <c r="G38"/>
  <c r="F38"/>
  <c r="E38"/>
  <c r="P37"/>
  <c r="O37"/>
  <c r="N37"/>
  <c r="M37"/>
  <c r="L37"/>
  <c r="K37"/>
  <c r="J37"/>
  <c r="I37"/>
  <c r="H37"/>
  <c r="G37"/>
  <c r="F37"/>
  <c r="E37"/>
  <c r="P36"/>
  <c r="O36"/>
  <c r="N36"/>
  <c r="M36"/>
  <c r="L36"/>
  <c r="K36"/>
  <c r="J36"/>
  <c r="I36"/>
  <c r="H36"/>
  <c r="G36"/>
  <c r="F36"/>
  <c r="E36"/>
  <c r="P35"/>
  <c r="O35"/>
  <c r="N35"/>
  <c r="M35"/>
  <c r="L35"/>
  <c r="K35"/>
  <c r="J35"/>
  <c r="I35"/>
  <c r="H35"/>
  <c r="G35"/>
  <c r="F35"/>
  <c r="E35"/>
  <c r="P25"/>
  <c r="O25"/>
  <c r="N25"/>
  <c r="M25"/>
  <c r="L25"/>
  <c r="K25"/>
  <c r="J25"/>
  <c r="I25"/>
  <c r="H25"/>
  <c r="G25"/>
  <c r="F25"/>
  <c r="E25"/>
  <c r="P24"/>
  <c r="O24"/>
  <c r="N24"/>
  <c r="M24"/>
  <c r="L24"/>
  <c r="K24"/>
  <c r="J24"/>
  <c r="I24"/>
  <c r="H24"/>
  <c r="G24"/>
  <c r="F24"/>
  <c r="E24"/>
  <c r="P23"/>
  <c r="O23"/>
  <c r="N23"/>
  <c r="M23"/>
  <c r="L23"/>
  <c r="K23"/>
  <c r="J23"/>
  <c r="I23"/>
  <c r="H23"/>
  <c r="G23"/>
  <c r="F23"/>
  <c r="E23"/>
  <c r="P22"/>
  <c r="O22"/>
  <c r="N22"/>
  <c r="M22"/>
  <c r="L22"/>
  <c r="K22"/>
  <c r="J22"/>
  <c r="I22"/>
  <c r="H22"/>
  <c r="G22"/>
  <c r="F22"/>
  <c r="E22"/>
  <c r="P21"/>
  <c r="O21"/>
  <c r="N21"/>
  <c r="M21"/>
  <c r="L21"/>
  <c r="K21"/>
  <c r="J21"/>
  <c r="I21"/>
  <c r="H21"/>
  <c r="G21"/>
  <c r="F21"/>
  <c r="E21"/>
  <c r="P20"/>
  <c r="O20"/>
  <c r="N20"/>
  <c r="M20"/>
  <c r="L20"/>
  <c r="K20"/>
  <c r="J20"/>
  <c r="I20"/>
  <c r="H20"/>
  <c r="G20"/>
  <c r="F20"/>
  <c r="E20"/>
  <c r="P19"/>
  <c r="O19"/>
  <c r="N19"/>
  <c r="M19"/>
  <c r="L19"/>
  <c r="K19"/>
  <c r="J19"/>
  <c r="I19"/>
  <c r="H19"/>
  <c r="G19"/>
  <c r="F19"/>
  <c r="E19"/>
  <c r="P18"/>
  <c r="O18"/>
  <c r="N18"/>
  <c r="M18"/>
  <c r="L18"/>
  <c r="K18"/>
  <c r="J18"/>
  <c r="I18"/>
  <c r="H18"/>
  <c r="G18"/>
  <c r="F18"/>
  <c r="E18"/>
  <c r="P17"/>
  <c r="O17"/>
  <c r="N17"/>
  <c r="M17"/>
  <c r="L17"/>
  <c r="K17"/>
  <c r="J17"/>
  <c r="I17"/>
  <c r="H17"/>
  <c r="G17"/>
  <c r="F17"/>
  <c r="E17"/>
  <c r="P16"/>
  <c r="O16"/>
  <c r="N16"/>
  <c r="M16"/>
  <c r="L16"/>
  <c r="K16"/>
  <c r="J16"/>
  <c r="I16"/>
  <c r="H16"/>
  <c r="G16"/>
  <c r="F16"/>
  <c r="E16"/>
  <c r="P15"/>
  <c r="O15"/>
  <c r="N15"/>
  <c r="M15"/>
  <c r="L15"/>
  <c r="K15"/>
  <c r="J15"/>
  <c r="I15"/>
  <c r="H15"/>
  <c r="G15"/>
  <c r="F15"/>
  <c r="E15"/>
  <c r="P14"/>
  <c r="O14"/>
  <c r="N14"/>
  <c r="M14"/>
  <c r="L14"/>
  <c r="K14"/>
  <c r="J14"/>
  <c r="I14"/>
  <c r="H14"/>
  <c r="G14"/>
  <c r="F14"/>
  <c r="E14"/>
  <c r="P13"/>
  <c r="O13"/>
  <c r="N13"/>
  <c r="M13"/>
  <c r="L13"/>
  <c r="K13"/>
  <c r="J13"/>
  <c r="I13"/>
  <c r="H13"/>
  <c r="G13"/>
  <c r="F13"/>
  <c r="E13"/>
  <c r="R9"/>
  <c r="P100" i="4"/>
  <c r="O100"/>
  <c r="N100"/>
  <c r="M100"/>
  <c r="L100"/>
  <c r="K100"/>
  <c r="J100"/>
  <c r="I100"/>
  <c r="H100"/>
  <c r="G100"/>
  <c r="F100"/>
  <c r="E100"/>
  <c r="P99"/>
  <c r="O99"/>
  <c r="N99"/>
  <c r="M99"/>
  <c r="L99"/>
  <c r="K99"/>
  <c r="J99"/>
  <c r="I99"/>
  <c r="H99"/>
  <c r="G99"/>
  <c r="F99"/>
  <c r="E99"/>
  <c r="P98"/>
  <c r="O98"/>
  <c r="N98"/>
  <c r="M98"/>
  <c r="L98"/>
  <c r="K98"/>
  <c r="J98"/>
  <c r="I98"/>
  <c r="H98"/>
  <c r="G98"/>
  <c r="F98"/>
  <c r="E98"/>
  <c r="P97"/>
  <c r="O97"/>
  <c r="N97"/>
  <c r="M97"/>
  <c r="L97"/>
  <c r="K97"/>
  <c r="J97"/>
  <c r="I97"/>
  <c r="H97"/>
  <c r="G97"/>
  <c r="F97"/>
  <c r="E97"/>
  <c r="P96"/>
  <c r="O96"/>
  <c r="N96"/>
  <c r="M96"/>
  <c r="L96"/>
  <c r="K96"/>
  <c r="J96"/>
  <c r="I96"/>
  <c r="H96"/>
  <c r="G96"/>
  <c r="F96"/>
  <c r="E96"/>
  <c r="P95"/>
  <c r="O95"/>
  <c r="N95"/>
  <c r="M95"/>
  <c r="L95"/>
  <c r="K95"/>
  <c r="J95"/>
  <c r="I95"/>
  <c r="H95"/>
  <c r="G95"/>
  <c r="F95"/>
  <c r="E95"/>
  <c r="P94"/>
  <c r="O94"/>
  <c r="N94"/>
  <c r="M94"/>
  <c r="L94"/>
  <c r="K94"/>
  <c r="J94"/>
  <c r="I94"/>
  <c r="H94"/>
  <c r="G94"/>
  <c r="F94"/>
  <c r="E94"/>
  <c r="P93"/>
  <c r="O93"/>
  <c r="N93"/>
  <c r="M93"/>
  <c r="L93"/>
  <c r="K93"/>
  <c r="J93"/>
  <c r="I93"/>
  <c r="H93"/>
  <c r="G93"/>
  <c r="F93"/>
  <c r="E93"/>
  <c r="P92"/>
  <c r="O92"/>
  <c r="N92"/>
  <c r="M92"/>
  <c r="L92"/>
  <c r="K92"/>
  <c r="J92"/>
  <c r="I92"/>
  <c r="H92"/>
  <c r="G92"/>
  <c r="F92"/>
  <c r="E92"/>
  <c r="P91"/>
  <c r="O91"/>
  <c r="N91"/>
  <c r="M91"/>
  <c r="L91"/>
  <c r="K91"/>
  <c r="J91"/>
  <c r="I91"/>
  <c r="H91"/>
  <c r="G91"/>
  <c r="F91"/>
  <c r="E91"/>
  <c r="P90"/>
  <c r="O90"/>
  <c r="N90"/>
  <c r="M90"/>
  <c r="L90"/>
  <c r="K90"/>
  <c r="J90"/>
  <c r="I90"/>
  <c r="H90"/>
  <c r="G90"/>
  <c r="F90"/>
  <c r="E90"/>
  <c r="P89"/>
  <c r="O89"/>
  <c r="N89"/>
  <c r="M89"/>
  <c r="L89"/>
  <c r="K89"/>
  <c r="J89"/>
  <c r="I89"/>
  <c r="H89"/>
  <c r="G89"/>
  <c r="F89"/>
  <c r="E89"/>
  <c r="P88"/>
  <c r="O88"/>
  <c r="N88"/>
  <c r="M88"/>
  <c r="L88"/>
  <c r="K88"/>
  <c r="J88"/>
  <c r="I88"/>
  <c r="H88"/>
  <c r="G88"/>
  <c r="F88"/>
  <c r="E88"/>
  <c r="P79"/>
  <c r="O79"/>
  <c r="N79"/>
  <c r="M79"/>
  <c r="L79"/>
  <c r="K79"/>
  <c r="J79"/>
  <c r="I79"/>
  <c r="H79"/>
  <c r="G79"/>
  <c r="F79"/>
  <c r="E79"/>
  <c r="P78"/>
  <c r="O78"/>
  <c r="N78"/>
  <c r="M78"/>
  <c r="L78"/>
  <c r="K78"/>
  <c r="J78"/>
  <c r="I78"/>
  <c r="H78"/>
  <c r="G78"/>
  <c r="F78"/>
  <c r="E78"/>
  <c r="P77"/>
  <c r="O77"/>
  <c r="N77"/>
  <c r="M77"/>
  <c r="L77"/>
  <c r="K77"/>
  <c r="J77"/>
  <c r="I77"/>
  <c r="H77"/>
  <c r="G77"/>
  <c r="F77"/>
  <c r="E77"/>
  <c r="P76"/>
  <c r="O76"/>
  <c r="N76"/>
  <c r="M76"/>
  <c r="L76"/>
  <c r="K76"/>
  <c r="J76"/>
  <c r="I76"/>
  <c r="H76"/>
  <c r="G76"/>
  <c r="F76"/>
  <c r="E76"/>
  <c r="P75"/>
  <c r="O75"/>
  <c r="N75"/>
  <c r="M75"/>
  <c r="L75"/>
  <c r="K75"/>
  <c r="J75"/>
  <c r="I75"/>
  <c r="H75"/>
  <c r="G75"/>
  <c r="F75"/>
  <c r="E75"/>
  <c r="P74"/>
  <c r="O74"/>
  <c r="N74"/>
  <c r="M74"/>
  <c r="L74"/>
  <c r="K74"/>
  <c r="J74"/>
  <c r="I74"/>
  <c r="H74"/>
  <c r="G74"/>
  <c r="F74"/>
  <c r="E74"/>
  <c r="P73"/>
  <c r="O73"/>
  <c r="N73"/>
  <c r="M73"/>
  <c r="L73"/>
  <c r="K73"/>
  <c r="J73"/>
  <c r="I73"/>
  <c r="H73"/>
  <c r="G73"/>
  <c r="F73"/>
  <c r="E73"/>
  <c r="P72"/>
  <c r="O72"/>
  <c r="N72"/>
  <c r="M72"/>
  <c r="L72"/>
  <c r="K72"/>
  <c r="J72"/>
  <c r="I72"/>
  <c r="H72"/>
  <c r="G72"/>
  <c r="F72"/>
  <c r="E72"/>
  <c r="P63"/>
  <c r="O63"/>
  <c r="N63"/>
  <c r="M63"/>
  <c r="L63"/>
  <c r="K63"/>
  <c r="J63"/>
  <c r="I63"/>
  <c r="H63"/>
  <c r="G63"/>
  <c r="F63"/>
  <c r="E63"/>
  <c r="P62"/>
  <c r="O62"/>
  <c r="N62"/>
  <c r="M62"/>
  <c r="L62"/>
  <c r="K62"/>
  <c r="J62"/>
  <c r="I62"/>
  <c r="H62"/>
  <c r="G62"/>
  <c r="F62"/>
  <c r="E62"/>
  <c r="P61"/>
  <c r="O61"/>
  <c r="N61"/>
  <c r="M61"/>
  <c r="L61"/>
  <c r="K61"/>
  <c r="J61"/>
  <c r="I61"/>
  <c r="H61"/>
  <c r="G61"/>
  <c r="F61"/>
  <c r="E61"/>
  <c r="P60"/>
  <c r="O60"/>
  <c r="N60"/>
  <c r="M60"/>
  <c r="L60"/>
  <c r="K60"/>
  <c r="J60"/>
  <c r="I60"/>
  <c r="H60"/>
  <c r="G60"/>
  <c r="F60"/>
  <c r="E60"/>
  <c r="P59"/>
  <c r="O59"/>
  <c r="N59"/>
  <c r="M59"/>
  <c r="L59"/>
  <c r="K59"/>
  <c r="J59"/>
  <c r="I59"/>
  <c r="H59"/>
  <c r="G59"/>
  <c r="F59"/>
  <c r="E59"/>
  <c r="P58"/>
  <c r="O58"/>
  <c r="N58"/>
  <c r="M58"/>
  <c r="L58"/>
  <c r="K58"/>
  <c r="J58"/>
  <c r="I58"/>
  <c r="H58"/>
  <c r="G58"/>
  <c r="F58"/>
  <c r="E58"/>
  <c r="P57"/>
  <c r="O57"/>
  <c r="N57"/>
  <c r="M57"/>
  <c r="L57"/>
  <c r="K57"/>
  <c r="J57"/>
  <c r="I57"/>
  <c r="H57"/>
  <c r="G57"/>
  <c r="F57"/>
  <c r="E57"/>
  <c r="P56"/>
  <c r="O56"/>
  <c r="N56"/>
  <c r="M56"/>
  <c r="L56"/>
  <c r="K56"/>
  <c r="J56"/>
  <c r="I56"/>
  <c r="H56"/>
  <c r="G56"/>
  <c r="F56"/>
  <c r="E56"/>
  <c r="P55"/>
  <c r="O55"/>
  <c r="N55"/>
  <c r="M55"/>
  <c r="L55"/>
  <c r="K55"/>
  <c r="J55"/>
  <c r="I55"/>
  <c r="H55"/>
  <c r="G55"/>
  <c r="F55"/>
  <c r="E55"/>
  <c r="P54"/>
  <c r="O54"/>
  <c r="N54"/>
  <c r="M54"/>
  <c r="L54"/>
  <c r="K54"/>
  <c r="J54"/>
  <c r="I54"/>
  <c r="H54"/>
  <c r="G54"/>
  <c r="F54"/>
  <c r="E54"/>
  <c r="P44"/>
  <c r="O44"/>
  <c r="N44"/>
  <c r="M44"/>
  <c r="L44"/>
  <c r="K44"/>
  <c r="J44"/>
  <c r="I44"/>
  <c r="H44"/>
  <c r="G44"/>
  <c r="F44"/>
  <c r="E44"/>
  <c r="P43"/>
  <c r="O43"/>
  <c r="N43"/>
  <c r="M43"/>
  <c r="L43"/>
  <c r="K43"/>
  <c r="J43"/>
  <c r="I43"/>
  <c r="H43"/>
  <c r="G43"/>
  <c r="F43"/>
  <c r="E43"/>
  <c r="P42"/>
  <c r="O42"/>
  <c r="N42"/>
  <c r="M42"/>
  <c r="L42"/>
  <c r="K42"/>
  <c r="J42"/>
  <c r="I42"/>
  <c r="H42"/>
  <c r="G42"/>
  <c r="F42"/>
  <c r="E42"/>
  <c r="P41"/>
  <c r="O41"/>
  <c r="N41"/>
  <c r="M41"/>
  <c r="L41"/>
  <c r="K41"/>
  <c r="J41"/>
  <c r="I41"/>
  <c r="H41"/>
  <c r="G41"/>
  <c r="F41"/>
  <c r="E41"/>
  <c r="P40"/>
  <c r="O40"/>
  <c r="N40"/>
  <c r="M40"/>
  <c r="L40"/>
  <c r="K40"/>
  <c r="J40"/>
  <c r="I40"/>
  <c r="H40"/>
  <c r="G40"/>
  <c r="F40"/>
  <c r="E40"/>
  <c r="P39"/>
  <c r="O39"/>
  <c r="N39"/>
  <c r="M39"/>
  <c r="L39"/>
  <c r="K39"/>
  <c r="J39"/>
  <c r="I39"/>
  <c r="H39"/>
  <c r="G39"/>
  <c r="F39"/>
  <c r="E39"/>
  <c r="P38"/>
  <c r="O38"/>
  <c r="N38"/>
  <c r="M38"/>
  <c r="L38"/>
  <c r="K38"/>
  <c r="J38"/>
  <c r="I38"/>
  <c r="H38"/>
  <c r="G38"/>
  <c r="F38"/>
  <c r="E38"/>
  <c r="P37"/>
  <c r="O37"/>
  <c r="N37"/>
  <c r="M37"/>
  <c r="L37"/>
  <c r="K37"/>
  <c r="J37"/>
  <c r="I37"/>
  <c r="H37"/>
  <c r="G37"/>
  <c r="F37"/>
  <c r="E37"/>
  <c r="P36"/>
  <c r="O36"/>
  <c r="N36"/>
  <c r="M36"/>
  <c r="L36"/>
  <c r="K36"/>
  <c r="J36"/>
  <c r="I36"/>
  <c r="H36"/>
  <c r="G36"/>
  <c r="F36"/>
  <c r="E36"/>
  <c r="P35"/>
  <c r="O35"/>
  <c r="N35"/>
  <c r="M35"/>
  <c r="L35"/>
  <c r="K35"/>
  <c r="J35"/>
  <c r="I35"/>
  <c r="H35"/>
  <c r="G35"/>
  <c r="F35"/>
  <c r="E35"/>
  <c r="P25"/>
  <c r="O25"/>
  <c r="N25"/>
  <c r="M25"/>
  <c r="L25"/>
  <c r="K25"/>
  <c r="J25"/>
  <c r="I25"/>
  <c r="H25"/>
  <c r="G25"/>
  <c r="F25"/>
  <c r="E25"/>
  <c r="P24"/>
  <c r="O24"/>
  <c r="N24"/>
  <c r="M24"/>
  <c r="L24"/>
  <c r="K24"/>
  <c r="J24"/>
  <c r="I24"/>
  <c r="H24"/>
  <c r="G24"/>
  <c r="F24"/>
  <c r="E24"/>
  <c r="P23"/>
  <c r="O23"/>
  <c r="N23"/>
  <c r="M23"/>
  <c r="L23"/>
  <c r="K23"/>
  <c r="J23"/>
  <c r="I23"/>
  <c r="H23"/>
  <c r="G23"/>
  <c r="F23"/>
  <c r="E23"/>
  <c r="P22"/>
  <c r="O22"/>
  <c r="N22"/>
  <c r="M22"/>
  <c r="L22"/>
  <c r="K22"/>
  <c r="J22"/>
  <c r="I22"/>
  <c r="H22"/>
  <c r="G22"/>
  <c r="F22"/>
  <c r="E22"/>
  <c r="P21"/>
  <c r="O21"/>
  <c r="N21"/>
  <c r="M21"/>
  <c r="L21"/>
  <c r="K21"/>
  <c r="J21"/>
  <c r="I21"/>
  <c r="H21"/>
  <c r="G21"/>
  <c r="F21"/>
  <c r="E21"/>
  <c r="P20"/>
  <c r="O20"/>
  <c r="N20"/>
  <c r="M20"/>
  <c r="L20"/>
  <c r="K20"/>
  <c r="J20"/>
  <c r="I20"/>
  <c r="H20"/>
  <c r="G20"/>
  <c r="F20"/>
  <c r="E20"/>
  <c r="P19"/>
  <c r="O19"/>
  <c r="N19"/>
  <c r="M19"/>
  <c r="L19"/>
  <c r="K19"/>
  <c r="J19"/>
  <c r="I19"/>
  <c r="H19"/>
  <c r="G19"/>
  <c r="F19"/>
  <c r="E19"/>
  <c r="P18"/>
  <c r="O18"/>
  <c r="N18"/>
  <c r="M18"/>
  <c r="L18"/>
  <c r="K18"/>
  <c r="J18"/>
  <c r="I18"/>
  <c r="H18"/>
  <c r="G18"/>
  <c r="F18"/>
  <c r="E18"/>
  <c r="P17"/>
  <c r="O17"/>
  <c r="N17"/>
  <c r="M17"/>
  <c r="L17"/>
  <c r="K17"/>
  <c r="J17"/>
  <c r="I17"/>
  <c r="H17"/>
  <c r="G17"/>
  <c r="F17"/>
  <c r="E17"/>
  <c r="P16"/>
  <c r="O16"/>
  <c r="N16"/>
  <c r="M16"/>
  <c r="L16"/>
  <c r="K16"/>
  <c r="J16"/>
  <c r="I16"/>
  <c r="H16"/>
  <c r="G16"/>
  <c r="F16"/>
  <c r="E16"/>
  <c r="P15"/>
  <c r="O15"/>
  <c r="N15"/>
  <c r="M15"/>
  <c r="L15"/>
  <c r="K15"/>
  <c r="J15"/>
  <c r="I15"/>
  <c r="H15"/>
  <c r="G15"/>
  <c r="F15"/>
  <c r="E15"/>
  <c r="P14"/>
  <c r="O14"/>
  <c r="N14"/>
  <c r="M14"/>
  <c r="L14"/>
  <c r="K14"/>
  <c r="J14"/>
  <c r="I14"/>
  <c r="H14"/>
  <c r="G14"/>
  <c r="F14"/>
  <c r="E14"/>
  <c r="P13"/>
  <c r="O13"/>
  <c r="N13"/>
  <c r="M13"/>
  <c r="L13"/>
  <c r="K13"/>
  <c r="J13"/>
  <c r="I13"/>
  <c r="H13"/>
  <c r="G13"/>
  <c r="F13"/>
  <c r="E13"/>
  <c r="R9"/>
  <c r="P102" i="10"/>
  <c r="O102"/>
  <c r="N102"/>
  <c r="M102"/>
  <c r="L102"/>
  <c r="K102"/>
  <c r="J102"/>
  <c r="I102"/>
  <c r="H102"/>
  <c r="G102"/>
  <c r="F102"/>
  <c r="E102"/>
  <c r="P101"/>
  <c r="O101"/>
  <c r="N101"/>
  <c r="M101"/>
  <c r="L101"/>
  <c r="K101"/>
  <c r="J101"/>
  <c r="I101"/>
  <c r="H101"/>
  <c r="G101"/>
  <c r="F101"/>
  <c r="E101"/>
  <c r="P100"/>
  <c r="O100"/>
  <c r="N100"/>
  <c r="M100"/>
  <c r="L100"/>
  <c r="K100"/>
  <c r="J100"/>
  <c r="I100"/>
  <c r="H100"/>
  <c r="G100"/>
  <c r="F100"/>
  <c r="E100"/>
  <c r="P99"/>
  <c r="O99"/>
  <c r="N99"/>
  <c r="M99"/>
  <c r="L99"/>
  <c r="K99"/>
  <c r="J99"/>
  <c r="I99"/>
  <c r="H99"/>
  <c r="G99"/>
  <c r="F99"/>
  <c r="E99"/>
  <c r="P98"/>
  <c r="O98"/>
  <c r="N98"/>
  <c r="M98"/>
  <c r="L98"/>
  <c r="K98"/>
  <c r="J98"/>
  <c r="I98"/>
  <c r="H98"/>
  <c r="G98"/>
  <c r="F98"/>
  <c r="E98"/>
  <c r="P97"/>
  <c r="O97"/>
  <c r="N97"/>
  <c r="M97"/>
  <c r="L97"/>
  <c r="K97"/>
  <c r="J97"/>
  <c r="I97"/>
  <c r="H97"/>
  <c r="G97"/>
  <c r="F97"/>
  <c r="E97"/>
  <c r="P96"/>
  <c r="O96"/>
  <c r="N96"/>
  <c r="M96"/>
  <c r="L96"/>
  <c r="K96"/>
  <c r="J96"/>
  <c r="I96"/>
  <c r="H96"/>
  <c r="G96"/>
  <c r="F96"/>
  <c r="E96"/>
  <c r="P95"/>
  <c r="O95"/>
  <c r="N95"/>
  <c r="M95"/>
  <c r="L95"/>
  <c r="K95"/>
  <c r="J95"/>
  <c r="I95"/>
  <c r="H95"/>
  <c r="G95"/>
  <c r="F95"/>
  <c r="E95"/>
  <c r="P94"/>
  <c r="O94"/>
  <c r="N94"/>
  <c r="M94"/>
  <c r="L94"/>
  <c r="K94"/>
  <c r="J94"/>
  <c r="I94"/>
  <c r="H94"/>
  <c r="G94"/>
  <c r="F94"/>
  <c r="E94"/>
  <c r="P93"/>
  <c r="O93"/>
  <c r="N93"/>
  <c r="M93"/>
  <c r="L93"/>
  <c r="K93"/>
  <c r="J93"/>
  <c r="I93"/>
  <c r="H93"/>
  <c r="G93"/>
  <c r="F93"/>
  <c r="E93"/>
  <c r="P92"/>
  <c r="O92"/>
  <c r="N92"/>
  <c r="M92"/>
  <c r="L92"/>
  <c r="K92"/>
  <c r="J92"/>
  <c r="I92"/>
  <c r="H92"/>
  <c r="G92"/>
  <c r="F92"/>
  <c r="E92"/>
  <c r="P91"/>
  <c r="O91"/>
  <c r="N91"/>
  <c r="M91"/>
  <c r="L91"/>
  <c r="K91"/>
  <c r="J91"/>
  <c r="I91"/>
  <c r="H91"/>
  <c r="G91"/>
  <c r="F91"/>
  <c r="E91"/>
  <c r="P81"/>
  <c r="O81"/>
  <c r="N81"/>
  <c r="M81"/>
  <c r="L81"/>
  <c r="K81"/>
  <c r="J81"/>
  <c r="I81"/>
  <c r="H81"/>
  <c r="G81"/>
  <c r="F81"/>
  <c r="E81"/>
  <c r="P80"/>
  <c r="O80"/>
  <c r="N80"/>
  <c r="M80"/>
  <c r="L80"/>
  <c r="K80"/>
  <c r="J80"/>
  <c r="I80"/>
  <c r="H80"/>
  <c r="G80"/>
  <c r="F80"/>
  <c r="E80"/>
  <c r="P79"/>
  <c r="O79"/>
  <c r="N79"/>
  <c r="M79"/>
  <c r="L79"/>
  <c r="K79"/>
  <c r="J79"/>
  <c r="I79"/>
  <c r="H79"/>
  <c r="G79"/>
  <c r="F79"/>
  <c r="E79"/>
  <c r="P78"/>
  <c r="O78"/>
  <c r="N78"/>
  <c r="M78"/>
  <c r="L78"/>
  <c r="K78"/>
  <c r="J78"/>
  <c r="I78"/>
  <c r="H78"/>
  <c r="G78"/>
  <c r="F78"/>
  <c r="E78"/>
  <c r="P77"/>
  <c r="O77"/>
  <c r="N77"/>
  <c r="M77"/>
  <c r="L77"/>
  <c r="K77"/>
  <c r="J77"/>
  <c r="I77"/>
  <c r="H77"/>
  <c r="G77"/>
  <c r="F77"/>
  <c r="E77"/>
  <c r="P76"/>
  <c r="O76"/>
  <c r="N76"/>
  <c r="M76"/>
  <c r="L76"/>
  <c r="K76"/>
  <c r="J76"/>
  <c r="I76"/>
  <c r="H76"/>
  <c r="G76"/>
  <c r="F76"/>
  <c r="E76"/>
  <c r="P75"/>
  <c r="O75"/>
  <c r="N75"/>
  <c r="M75"/>
  <c r="L75"/>
  <c r="K75"/>
  <c r="J75"/>
  <c r="I75"/>
  <c r="H75"/>
  <c r="G75"/>
  <c r="F75"/>
  <c r="E75"/>
  <c r="P74"/>
  <c r="O74"/>
  <c r="N74"/>
  <c r="M74"/>
  <c r="L74"/>
  <c r="K74"/>
  <c r="J74"/>
  <c r="I74"/>
  <c r="H74"/>
  <c r="G74"/>
  <c r="F74"/>
  <c r="E74"/>
  <c r="P64"/>
  <c r="O64"/>
  <c r="N64"/>
  <c r="M64"/>
  <c r="L64"/>
  <c r="K64"/>
  <c r="J64"/>
  <c r="I64"/>
  <c r="H64"/>
  <c r="G64"/>
  <c r="F64"/>
  <c r="E64"/>
  <c r="P63"/>
  <c r="O63"/>
  <c r="N63"/>
  <c r="M63"/>
  <c r="L63"/>
  <c r="K63"/>
  <c r="J63"/>
  <c r="I63"/>
  <c r="H63"/>
  <c r="G63"/>
  <c r="F63"/>
  <c r="E63"/>
  <c r="P62"/>
  <c r="O62"/>
  <c r="N62"/>
  <c r="M62"/>
  <c r="L62"/>
  <c r="K62"/>
  <c r="J62"/>
  <c r="I62"/>
  <c r="H62"/>
  <c r="G62"/>
  <c r="F62"/>
  <c r="E62"/>
  <c r="P61"/>
  <c r="O61"/>
  <c r="N61"/>
  <c r="M61"/>
  <c r="L61"/>
  <c r="K61"/>
  <c r="J61"/>
  <c r="I61"/>
  <c r="H61"/>
  <c r="G61"/>
  <c r="F61"/>
  <c r="E61"/>
  <c r="P60"/>
  <c r="O60"/>
  <c r="N60"/>
  <c r="M60"/>
  <c r="L60"/>
  <c r="K60"/>
  <c r="J60"/>
  <c r="I60"/>
  <c r="H60"/>
  <c r="G60"/>
  <c r="F60"/>
  <c r="E60"/>
  <c r="P59"/>
  <c r="O59"/>
  <c r="N59"/>
  <c r="M59"/>
  <c r="L59"/>
  <c r="K59"/>
  <c r="J59"/>
  <c r="I59"/>
  <c r="H59"/>
  <c r="G59"/>
  <c r="F59"/>
  <c r="E59"/>
  <c r="P58"/>
  <c r="O58"/>
  <c r="N58"/>
  <c r="M58"/>
  <c r="L58"/>
  <c r="K58"/>
  <c r="J58"/>
  <c r="I58"/>
  <c r="H58"/>
  <c r="G58"/>
  <c r="F58"/>
  <c r="E58"/>
  <c r="P57"/>
  <c r="O57"/>
  <c r="N57"/>
  <c r="M57"/>
  <c r="L57"/>
  <c r="K57"/>
  <c r="J57"/>
  <c r="I57"/>
  <c r="H57"/>
  <c r="G57"/>
  <c r="F57"/>
  <c r="E57"/>
  <c r="P56"/>
  <c r="O56"/>
  <c r="N56"/>
  <c r="M56"/>
  <c r="L56"/>
  <c r="K56"/>
  <c r="J56"/>
  <c r="I56"/>
  <c r="H56"/>
  <c r="G56"/>
  <c r="F56"/>
  <c r="E56"/>
  <c r="P55"/>
  <c r="O55"/>
  <c r="N55"/>
  <c r="M55"/>
  <c r="L55"/>
  <c r="K55"/>
  <c r="J55"/>
  <c r="I55"/>
  <c r="H55"/>
  <c r="G55"/>
  <c r="F55"/>
  <c r="E55"/>
  <c r="P54"/>
  <c r="O54"/>
  <c r="N54"/>
  <c r="M54"/>
  <c r="L54"/>
  <c r="K54"/>
  <c r="J54"/>
  <c r="I54"/>
  <c r="H54"/>
  <c r="G54"/>
  <c r="F54"/>
  <c r="E54"/>
  <c r="P44"/>
  <c r="O44"/>
  <c r="N44"/>
  <c r="M44"/>
  <c r="L44"/>
  <c r="K44"/>
  <c r="J44"/>
  <c r="I44"/>
  <c r="H44"/>
  <c r="G44"/>
  <c r="F44"/>
  <c r="E44"/>
  <c r="P43"/>
  <c r="O43"/>
  <c r="N43"/>
  <c r="M43"/>
  <c r="L43"/>
  <c r="K43"/>
  <c r="J43"/>
  <c r="I43"/>
  <c r="H43"/>
  <c r="G43"/>
  <c r="F43"/>
  <c r="E43"/>
  <c r="P42"/>
  <c r="O42"/>
  <c r="N42"/>
  <c r="M42"/>
  <c r="L42"/>
  <c r="K42"/>
  <c r="J42"/>
  <c r="I42"/>
  <c r="H42"/>
  <c r="G42"/>
  <c r="F42"/>
  <c r="E42"/>
  <c r="P41"/>
  <c r="O41"/>
  <c r="N41"/>
  <c r="M41"/>
  <c r="L41"/>
  <c r="K41"/>
  <c r="J41"/>
  <c r="I41"/>
  <c r="H41"/>
  <c r="G41"/>
  <c r="F41"/>
  <c r="E41"/>
  <c r="P40"/>
  <c r="O40"/>
  <c r="N40"/>
  <c r="M40"/>
  <c r="L40"/>
  <c r="K40"/>
  <c r="J40"/>
  <c r="I40"/>
  <c r="H40"/>
  <c r="G40"/>
  <c r="F40"/>
  <c r="E40"/>
  <c r="P39"/>
  <c r="O39"/>
  <c r="N39"/>
  <c r="M39"/>
  <c r="L39"/>
  <c r="K39"/>
  <c r="J39"/>
  <c r="I39"/>
  <c r="H39"/>
  <c r="G39"/>
  <c r="F39"/>
  <c r="E39"/>
  <c r="P38"/>
  <c r="O38"/>
  <c r="N38"/>
  <c r="M38"/>
  <c r="L38"/>
  <c r="K38"/>
  <c r="J38"/>
  <c r="I38"/>
  <c r="H38"/>
  <c r="G38"/>
  <c r="F38"/>
  <c r="E38"/>
  <c r="P37"/>
  <c r="O37"/>
  <c r="N37"/>
  <c r="M37"/>
  <c r="L37"/>
  <c r="K37"/>
  <c r="J37"/>
  <c r="I37"/>
  <c r="H37"/>
  <c r="G37"/>
  <c r="F37"/>
  <c r="E37"/>
  <c r="P36"/>
  <c r="O36"/>
  <c r="N36"/>
  <c r="M36"/>
  <c r="L36"/>
  <c r="K36"/>
  <c r="J36"/>
  <c r="I36"/>
  <c r="H36"/>
  <c r="G36"/>
  <c r="F36"/>
  <c r="E36"/>
  <c r="P35"/>
  <c r="O35"/>
  <c r="N35"/>
  <c r="M35"/>
  <c r="L35"/>
  <c r="K35"/>
  <c r="J35"/>
  <c r="I35"/>
  <c r="H35"/>
  <c r="G35"/>
  <c r="F35"/>
  <c r="E35"/>
  <c r="P34"/>
  <c r="O34"/>
  <c r="N34"/>
  <c r="M34"/>
  <c r="L34"/>
  <c r="K34"/>
  <c r="J34"/>
  <c r="I34"/>
  <c r="H34"/>
  <c r="G34"/>
  <c r="F34"/>
  <c r="E34"/>
  <c r="P24"/>
  <c r="O24"/>
  <c r="N24"/>
  <c r="M24"/>
  <c r="L24"/>
  <c r="K24"/>
  <c r="J24"/>
  <c r="I24"/>
  <c r="H24"/>
  <c r="G24"/>
  <c r="F24"/>
  <c r="E24"/>
  <c r="P23"/>
  <c r="O23"/>
  <c r="N23"/>
  <c r="M23"/>
  <c r="L23"/>
  <c r="K23"/>
  <c r="J23"/>
  <c r="I23"/>
  <c r="H23"/>
  <c r="G23"/>
  <c r="F23"/>
  <c r="E23"/>
  <c r="P22"/>
  <c r="O22"/>
  <c r="N22"/>
  <c r="M22"/>
  <c r="L22"/>
  <c r="K22"/>
  <c r="J22"/>
  <c r="I22"/>
  <c r="H22"/>
  <c r="G22"/>
  <c r="F22"/>
  <c r="E22"/>
  <c r="P21"/>
  <c r="O21"/>
  <c r="N21"/>
  <c r="M21"/>
  <c r="L21"/>
  <c r="K21"/>
  <c r="J21"/>
  <c r="I21"/>
  <c r="H21"/>
  <c r="G21"/>
  <c r="F21"/>
  <c r="E21"/>
  <c r="P20"/>
  <c r="O20"/>
  <c r="N20"/>
  <c r="M20"/>
  <c r="L20"/>
  <c r="K20"/>
  <c r="J20"/>
  <c r="I20"/>
  <c r="H20"/>
  <c r="G20"/>
  <c r="F20"/>
  <c r="E20"/>
  <c r="P19"/>
  <c r="O19"/>
  <c r="N19"/>
  <c r="M19"/>
  <c r="L19"/>
  <c r="K19"/>
  <c r="J19"/>
  <c r="I19"/>
  <c r="H19"/>
  <c r="G19"/>
  <c r="F19"/>
  <c r="E19"/>
  <c r="P18"/>
  <c r="O18"/>
  <c r="N18"/>
  <c r="M18"/>
  <c r="L18"/>
  <c r="K18"/>
  <c r="J18"/>
  <c r="I18"/>
  <c r="H18"/>
  <c r="G18"/>
  <c r="F18"/>
  <c r="E18"/>
  <c r="P17"/>
  <c r="O17"/>
  <c r="N17"/>
  <c r="M17"/>
  <c r="L17"/>
  <c r="K17"/>
  <c r="J17"/>
  <c r="I17"/>
  <c r="H17"/>
  <c r="G17"/>
  <c r="F17"/>
  <c r="E17"/>
  <c r="P16"/>
  <c r="O16"/>
  <c r="N16"/>
  <c r="M16"/>
  <c r="L16"/>
  <c r="K16"/>
  <c r="J16"/>
  <c r="I16"/>
  <c r="H16"/>
  <c r="G16"/>
  <c r="F16"/>
  <c r="E16"/>
  <c r="P15"/>
  <c r="O15"/>
  <c r="N15"/>
  <c r="M15"/>
  <c r="L15"/>
  <c r="K15"/>
  <c r="J15"/>
  <c r="I15"/>
  <c r="H15"/>
  <c r="G15"/>
  <c r="F15"/>
  <c r="E15"/>
  <c r="P14"/>
  <c r="O14"/>
  <c r="N14"/>
  <c r="M14"/>
  <c r="L14"/>
  <c r="K14"/>
  <c r="J14"/>
  <c r="I14"/>
  <c r="H14"/>
  <c r="G14"/>
  <c r="F14"/>
  <c r="E14"/>
  <c r="P13"/>
  <c r="O13"/>
  <c r="N13"/>
  <c r="M13"/>
  <c r="L13"/>
  <c r="K13"/>
  <c r="J13"/>
  <c r="I13"/>
  <c r="H13"/>
  <c r="G13"/>
  <c r="F13"/>
  <c r="E13"/>
  <c r="R9"/>
  <c r="P99" i="3"/>
  <c r="O99"/>
  <c r="N99"/>
  <c r="M99"/>
  <c r="L99"/>
  <c r="K99"/>
  <c r="J99"/>
  <c r="I99"/>
  <c r="H99"/>
  <c r="G99"/>
  <c r="F99"/>
  <c r="E99"/>
  <c r="P98"/>
  <c r="O98"/>
  <c r="N98"/>
  <c r="M98"/>
  <c r="L98"/>
  <c r="K98"/>
  <c r="J98"/>
  <c r="I98"/>
  <c r="H98"/>
  <c r="G98"/>
  <c r="F98"/>
  <c r="E98"/>
  <c r="P97"/>
  <c r="O97"/>
  <c r="N97"/>
  <c r="M97"/>
  <c r="L97"/>
  <c r="K97"/>
  <c r="J97"/>
  <c r="I97"/>
  <c r="H97"/>
  <c r="G97"/>
  <c r="F97"/>
  <c r="E97"/>
  <c r="P96"/>
  <c r="O96"/>
  <c r="N96"/>
  <c r="M96"/>
  <c r="L96"/>
  <c r="K96"/>
  <c r="J96"/>
  <c r="I96"/>
  <c r="H96"/>
  <c r="G96"/>
  <c r="F96"/>
  <c r="E96"/>
  <c r="P95"/>
  <c r="O95"/>
  <c r="N95"/>
  <c r="M95"/>
  <c r="L95"/>
  <c r="K95"/>
  <c r="J95"/>
  <c r="I95"/>
  <c r="H95"/>
  <c r="G95"/>
  <c r="F95"/>
  <c r="E95"/>
  <c r="P94"/>
  <c r="O94"/>
  <c r="N94"/>
  <c r="M94"/>
  <c r="L94"/>
  <c r="K94"/>
  <c r="J94"/>
  <c r="I94"/>
  <c r="H94"/>
  <c r="G94"/>
  <c r="F94"/>
  <c r="E94"/>
  <c r="P93"/>
  <c r="O93"/>
  <c r="N93"/>
  <c r="M93"/>
  <c r="L93"/>
  <c r="K93"/>
  <c r="J93"/>
  <c r="I93"/>
  <c r="H93"/>
  <c r="G93"/>
  <c r="F93"/>
  <c r="E93"/>
  <c r="P92"/>
  <c r="O92"/>
  <c r="N92"/>
  <c r="M92"/>
  <c r="L92"/>
  <c r="K92"/>
  <c r="J92"/>
  <c r="I92"/>
  <c r="H92"/>
  <c r="G92"/>
  <c r="F92"/>
  <c r="E92"/>
  <c r="P91"/>
  <c r="O91"/>
  <c r="N91"/>
  <c r="M91"/>
  <c r="L91"/>
  <c r="K91"/>
  <c r="J91"/>
  <c r="I91"/>
  <c r="H91"/>
  <c r="G91"/>
  <c r="F91"/>
  <c r="E91"/>
  <c r="P90"/>
  <c r="O90"/>
  <c r="N90"/>
  <c r="M90"/>
  <c r="L90"/>
  <c r="K90"/>
  <c r="J90"/>
  <c r="I90"/>
  <c r="H90"/>
  <c r="G90"/>
  <c r="F90"/>
  <c r="E90"/>
  <c r="P89"/>
  <c r="O89"/>
  <c r="N89"/>
  <c r="M89"/>
  <c r="L89"/>
  <c r="K89"/>
  <c r="J89"/>
  <c r="I89"/>
  <c r="H89"/>
  <c r="G89"/>
  <c r="F89"/>
  <c r="E89"/>
  <c r="P88"/>
  <c r="O88"/>
  <c r="N88"/>
  <c r="M88"/>
  <c r="L88"/>
  <c r="K88"/>
  <c r="J88"/>
  <c r="I88"/>
  <c r="H88"/>
  <c r="G88"/>
  <c r="F88"/>
  <c r="E88"/>
  <c r="P87"/>
  <c r="O87"/>
  <c r="N87"/>
  <c r="M87"/>
  <c r="L87"/>
  <c r="K87"/>
  <c r="J87"/>
  <c r="I87"/>
  <c r="H87"/>
  <c r="G87"/>
  <c r="F87"/>
  <c r="E87"/>
  <c r="P78"/>
  <c r="O78"/>
  <c r="N78"/>
  <c r="M78"/>
  <c r="L78"/>
  <c r="K78"/>
  <c r="J78"/>
  <c r="I78"/>
  <c r="H78"/>
  <c r="G78"/>
  <c r="F78"/>
  <c r="E78"/>
  <c r="P77"/>
  <c r="O77"/>
  <c r="N77"/>
  <c r="M77"/>
  <c r="L77"/>
  <c r="K77"/>
  <c r="J77"/>
  <c r="I77"/>
  <c r="H77"/>
  <c r="G77"/>
  <c r="F77"/>
  <c r="E77"/>
  <c r="P76"/>
  <c r="O76"/>
  <c r="N76"/>
  <c r="M76"/>
  <c r="L76"/>
  <c r="K76"/>
  <c r="J76"/>
  <c r="I76"/>
  <c r="H76"/>
  <c r="G76"/>
  <c r="F76"/>
  <c r="E76"/>
  <c r="P75"/>
  <c r="O75"/>
  <c r="N75"/>
  <c r="M75"/>
  <c r="L75"/>
  <c r="K75"/>
  <c r="J75"/>
  <c r="I75"/>
  <c r="H75"/>
  <c r="G75"/>
  <c r="F75"/>
  <c r="E75"/>
  <c r="P74"/>
  <c r="O74"/>
  <c r="N74"/>
  <c r="M74"/>
  <c r="L74"/>
  <c r="K74"/>
  <c r="J74"/>
  <c r="I74"/>
  <c r="H74"/>
  <c r="G74"/>
  <c r="F74"/>
  <c r="E74"/>
  <c r="P73"/>
  <c r="O73"/>
  <c r="N73"/>
  <c r="M73"/>
  <c r="L73"/>
  <c r="K73"/>
  <c r="J73"/>
  <c r="I73"/>
  <c r="H73"/>
  <c r="G73"/>
  <c r="F73"/>
  <c r="E73"/>
  <c r="P72"/>
  <c r="O72"/>
  <c r="N72"/>
  <c r="M72"/>
  <c r="L72"/>
  <c r="K72"/>
  <c r="J72"/>
  <c r="I72"/>
  <c r="H72"/>
  <c r="G72"/>
  <c r="F72"/>
  <c r="E72"/>
  <c r="P71"/>
  <c r="O71"/>
  <c r="N71"/>
  <c r="M71"/>
  <c r="L71"/>
  <c r="K71"/>
  <c r="J71"/>
  <c r="I71"/>
  <c r="H71"/>
  <c r="G71"/>
  <c r="F71"/>
  <c r="E71"/>
  <c r="P62"/>
  <c r="O62"/>
  <c r="N62"/>
  <c r="M62"/>
  <c r="L62"/>
  <c r="K62"/>
  <c r="J62"/>
  <c r="I62"/>
  <c r="H62"/>
  <c r="G62"/>
  <c r="F62"/>
  <c r="E62"/>
  <c r="P61"/>
  <c r="O61"/>
  <c r="N61"/>
  <c r="M61"/>
  <c r="L61"/>
  <c r="K61"/>
  <c r="J61"/>
  <c r="I61"/>
  <c r="H61"/>
  <c r="G61"/>
  <c r="F61"/>
  <c r="E61"/>
  <c r="P60"/>
  <c r="O60"/>
  <c r="N60"/>
  <c r="M60"/>
  <c r="L60"/>
  <c r="K60"/>
  <c r="J60"/>
  <c r="I60"/>
  <c r="H60"/>
  <c r="G60"/>
  <c r="F60"/>
  <c r="E60"/>
  <c r="P59"/>
  <c r="O59"/>
  <c r="N59"/>
  <c r="M59"/>
  <c r="L59"/>
  <c r="K59"/>
  <c r="J59"/>
  <c r="I59"/>
  <c r="H59"/>
  <c r="G59"/>
  <c r="F59"/>
  <c r="E59"/>
  <c r="P58"/>
  <c r="O58"/>
  <c r="N58"/>
  <c r="M58"/>
  <c r="L58"/>
  <c r="K58"/>
  <c r="J58"/>
  <c r="I58"/>
  <c r="H58"/>
  <c r="G58"/>
  <c r="F58"/>
  <c r="E58"/>
  <c r="P57"/>
  <c r="O57"/>
  <c r="N57"/>
  <c r="M57"/>
  <c r="L57"/>
  <c r="K57"/>
  <c r="J57"/>
  <c r="I57"/>
  <c r="H57"/>
  <c r="G57"/>
  <c r="F57"/>
  <c r="E57"/>
  <c r="P56"/>
  <c r="O56"/>
  <c r="N56"/>
  <c r="M56"/>
  <c r="L56"/>
  <c r="K56"/>
  <c r="J56"/>
  <c r="I56"/>
  <c r="H56"/>
  <c r="G56"/>
  <c r="F56"/>
  <c r="E56"/>
  <c r="P55"/>
  <c r="O55"/>
  <c r="N55"/>
  <c r="M55"/>
  <c r="L55"/>
  <c r="K55"/>
  <c r="J55"/>
  <c r="I55"/>
  <c r="H55"/>
  <c r="G55"/>
  <c r="F55"/>
  <c r="E55"/>
  <c r="P54"/>
  <c r="O54"/>
  <c r="N54"/>
  <c r="M54"/>
  <c r="L54"/>
  <c r="K54"/>
  <c r="J54"/>
  <c r="I54"/>
  <c r="H54"/>
  <c r="G54"/>
  <c r="F54"/>
  <c r="E54"/>
  <c r="P53"/>
  <c r="O53"/>
  <c r="N53"/>
  <c r="M53"/>
  <c r="L53"/>
  <c r="K53"/>
  <c r="J53"/>
  <c r="I53"/>
  <c r="H53"/>
  <c r="G53"/>
  <c r="F53"/>
  <c r="E53"/>
  <c r="P43"/>
  <c r="O43"/>
  <c r="N43"/>
  <c r="M43"/>
  <c r="L43"/>
  <c r="K43"/>
  <c r="J43"/>
  <c r="I43"/>
  <c r="H43"/>
  <c r="G43"/>
  <c r="F43"/>
  <c r="E43"/>
  <c r="P42"/>
  <c r="O42"/>
  <c r="N42"/>
  <c r="M42"/>
  <c r="L42"/>
  <c r="K42"/>
  <c r="J42"/>
  <c r="I42"/>
  <c r="H42"/>
  <c r="G42"/>
  <c r="F42"/>
  <c r="E42"/>
  <c r="P41"/>
  <c r="O41"/>
  <c r="N41"/>
  <c r="M41"/>
  <c r="L41"/>
  <c r="K41"/>
  <c r="J41"/>
  <c r="I41"/>
  <c r="H41"/>
  <c r="G41"/>
  <c r="F41"/>
  <c r="E41"/>
  <c r="P40"/>
  <c r="O40"/>
  <c r="N40"/>
  <c r="M40"/>
  <c r="L40"/>
  <c r="K40"/>
  <c r="J40"/>
  <c r="I40"/>
  <c r="H40"/>
  <c r="G40"/>
  <c r="F40"/>
  <c r="E40"/>
  <c r="P39"/>
  <c r="O39"/>
  <c r="N39"/>
  <c r="M39"/>
  <c r="L39"/>
  <c r="K39"/>
  <c r="J39"/>
  <c r="I39"/>
  <c r="H39"/>
  <c r="G39"/>
  <c r="F39"/>
  <c r="E39"/>
  <c r="P38"/>
  <c r="O38"/>
  <c r="N38"/>
  <c r="M38"/>
  <c r="L38"/>
  <c r="K38"/>
  <c r="J38"/>
  <c r="I38"/>
  <c r="H38"/>
  <c r="G38"/>
  <c r="F38"/>
  <c r="E38"/>
  <c r="P37"/>
  <c r="O37"/>
  <c r="N37"/>
  <c r="M37"/>
  <c r="L37"/>
  <c r="K37"/>
  <c r="J37"/>
  <c r="I37"/>
  <c r="H37"/>
  <c r="G37"/>
  <c r="F37"/>
  <c r="E37"/>
  <c r="P36"/>
  <c r="O36"/>
  <c r="N36"/>
  <c r="M36"/>
  <c r="L36"/>
  <c r="K36"/>
  <c r="J36"/>
  <c r="I36"/>
  <c r="H36"/>
  <c r="G36"/>
  <c r="F36"/>
  <c r="E36"/>
  <c r="P35"/>
  <c r="O35"/>
  <c r="N35"/>
  <c r="M35"/>
  <c r="L35"/>
  <c r="K35"/>
  <c r="J35"/>
  <c r="I35"/>
  <c r="H35"/>
  <c r="G35"/>
  <c r="F35"/>
  <c r="E35"/>
  <c r="P34"/>
  <c r="O34"/>
  <c r="N34"/>
  <c r="M34"/>
  <c r="L34"/>
  <c r="K34"/>
  <c r="J34"/>
  <c r="I34"/>
  <c r="H34"/>
  <c r="G34"/>
  <c r="F34"/>
  <c r="E34"/>
  <c r="P25"/>
  <c r="O25"/>
  <c r="N25"/>
  <c r="M25"/>
  <c r="L25"/>
  <c r="K25"/>
  <c r="J25"/>
  <c r="I25"/>
  <c r="H25"/>
  <c r="G25"/>
  <c r="F25"/>
  <c r="E25"/>
  <c r="P24"/>
  <c r="O24"/>
  <c r="N24"/>
  <c r="M24"/>
  <c r="L24"/>
  <c r="K24"/>
  <c r="J24"/>
  <c r="I24"/>
  <c r="H24"/>
  <c r="G24"/>
  <c r="F24"/>
  <c r="E24"/>
  <c r="P23"/>
  <c r="O23"/>
  <c r="N23"/>
  <c r="M23"/>
  <c r="L23"/>
  <c r="K23"/>
  <c r="J23"/>
  <c r="I23"/>
  <c r="H23"/>
  <c r="G23"/>
  <c r="F23"/>
  <c r="E23"/>
  <c r="P22"/>
  <c r="O22"/>
  <c r="N22"/>
  <c r="M22"/>
  <c r="L22"/>
  <c r="K22"/>
  <c r="J22"/>
  <c r="I22"/>
  <c r="H22"/>
  <c r="G22"/>
  <c r="F22"/>
  <c r="E22"/>
  <c r="P21"/>
  <c r="O21"/>
  <c r="N21"/>
  <c r="M21"/>
  <c r="L21"/>
  <c r="K21"/>
  <c r="J21"/>
  <c r="I21"/>
  <c r="H21"/>
  <c r="G21"/>
  <c r="F21"/>
  <c r="E21"/>
  <c r="P20"/>
  <c r="O20"/>
  <c r="N20"/>
  <c r="M20"/>
  <c r="L20"/>
  <c r="K20"/>
  <c r="J20"/>
  <c r="I20"/>
  <c r="H20"/>
  <c r="G20"/>
  <c r="F20"/>
  <c r="E20"/>
  <c r="P19"/>
  <c r="O19"/>
  <c r="N19"/>
  <c r="M19"/>
  <c r="L19"/>
  <c r="K19"/>
  <c r="J19"/>
  <c r="I19"/>
  <c r="H19"/>
  <c r="G19"/>
  <c r="F19"/>
  <c r="E19"/>
  <c r="P18"/>
  <c r="O18"/>
  <c r="N18"/>
  <c r="M18"/>
  <c r="L18"/>
  <c r="K18"/>
  <c r="J18"/>
  <c r="I18"/>
  <c r="H18"/>
  <c r="G18"/>
  <c r="F18"/>
  <c r="E18"/>
  <c r="P17"/>
  <c r="O17"/>
  <c r="N17"/>
  <c r="M17"/>
  <c r="L17"/>
  <c r="K17"/>
  <c r="J17"/>
  <c r="I17"/>
  <c r="H17"/>
  <c r="G17"/>
  <c r="F17"/>
  <c r="E17"/>
  <c r="P16"/>
  <c r="O16"/>
  <c r="N16"/>
  <c r="M16"/>
  <c r="L16"/>
  <c r="K16"/>
  <c r="J16"/>
  <c r="I16"/>
  <c r="H16"/>
  <c r="G16"/>
  <c r="F16"/>
  <c r="E16"/>
  <c r="P15"/>
  <c r="O15"/>
  <c r="N15"/>
  <c r="M15"/>
  <c r="L15"/>
  <c r="K15"/>
  <c r="J15"/>
  <c r="I15"/>
  <c r="H15"/>
  <c r="G15"/>
  <c r="F15"/>
  <c r="E15"/>
  <c r="P14"/>
  <c r="O14"/>
  <c r="N14"/>
  <c r="M14"/>
  <c r="L14"/>
  <c r="K14"/>
  <c r="J14"/>
  <c r="I14"/>
  <c r="H14"/>
  <c r="G14"/>
  <c r="F14"/>
  <c r="E14"/>
  <c r="P13"/>
  <c r="O13"/>
  <c r="N13"/>
  <c r="M13"/>
  <c r="L13"/>
  <c r="K13"/>
  <c r="J13"/>
  <c r="I13"/>
  <c r="H13"/>
  <c r="G13"/>
  <c r="F13"/>
  <c r="E13"/>
  <c r="R9"/>
  <c r="P100" i="8"/>
  <c r="O100"/>
  <c r="N100"/>
  <c r="M100"/>
  <c r="L100"/>
  <c r="K100"/>
  <c r="J100"/>
  <c r="I100"/>
  <c r="H100"/>
  <c r="G100"/>
  <c r="F100"/>
  <c r="E100"/>
  <c r="P99"/>
  <c r="O99"/>
  <c r="N99"/>
  <c r="M99"/>
  <c r="L99"/>
  <c r="K99"/>
  <c r="J99"/>
  <c r="I99"/>
  <c r="H99"/>
  <c r="G99"/>
  <c r="F99"/>
  <c r="E99"/>
  <c r="P98"/>
  <c r="O98"/>
  <c r="N98"/>
  <c r="M98"/>
  <c r="L98"/>
  <c r="K98"/>
  <c r="J98"/>
  <c r="I98"/>
  <c r="H98"/>
  <c r="G98"/>
  <c r="F98"/>
  <c r="E98"/>
  <c r="P97"/>
  <c r="O97"/>
  <c r="N97"/>
  <c r="M97"/>
  <c r="L97"/>
  <c r="K97"/>
  <c r="J97"/>
  <c r="I97"/>
  <c r="H97"/>
  <c r="G97"/>
  <c r="F97"/>
  <c r="E97"/>
  <c r="P96"/>
  <c r="O96"/>
  <c r="N96"/>
  <c r="M96"/>
  <c r="L96"/>
  <c r="K96"/>
  <c r="J96"/>
  <c r="I96"/>
  <c r="H96"/>
  <c r="G96"/>
  <c r="F96"/>
  <c r="E96"/>
  <c r="P95"/>
  <c r="O95"/>
  <c r="N95"/>
  <c r="M95"/>
  <c r="L95"/>
  <c r="K95"/>
  <c r="J95"/>
  <c r="I95"/>
  <c r="H95"/>
  <c r="G95"/>
  <c r="F95"/>
  <c r="E95"/>
  <c r="P94"/>
  <c r="O94"/>
  <c r="N94"/>
  <c r="M94"/>
  <c r="L94"/>
  <c r="K94"/>
  <c r="J94"/>
  <c r="I94"/>
  <c r="H94"/>
  <c r="G94"/>
  <c r="F94"/>
  <c r="E94"/>
  <c r="P93"/>
  <c r="O93"/>
  <c r="N93"/>
  <c r="M93"/>
  <c r="L93"/>
  <c r="K93"/>
  <c r="J93"/>
  <c r="I93"/>
  <c r="H93"/>
  <c r="G93"/>
  <c r="F93"/>
  <c r="E93"/>
  <c r="P92"/>
  <c r="O92"/>
  <c r="N92"/>
  <c r="M92"/>
  <c r="L92"/>
  <c r="K92"/>
  <c r="J92"/>
  <c r="I92"/>
  <c r="H92"/>
  <c r="G92"/>
  <c r="F92"/>
  <c r="E92"/>
  <c r="P91"/>
  <c r="O91"/>
  <c r="N91"/>
  <c r="M91"/>
  <c r="L91"/>
  <c r="K91"/>
  <c r="J91"/>
  <c r="I91"/>
  <c r="H91"/>
  <c r="G91"/>
  <c r="F91"/>
  <c r="E91"/>
  <c r="P90"/>
  <c r="O90"/>
  <c r="N90"/>
  <c r="M90"/>
  <c r="L90"/>
  <c r="K90"/>
  <c r="J90"/>
  <c r="I90"/>
  <c r="H90"/>
  <c r="G90"/>
  <c r="F90"/>
  <c r="E90"/>
  <c r="P89"/>
  <c r="O89"/>
  <c r="N89"/>
  <c r="M89"/>
  <c r="L89"/>
  <c r="K89"/>
  <c r="J89"/>
  <c r="I89"/>
  <c r="H89"/>
  <c r="G89"/>
  <c r="F89"/>
  <c r="E89"/>
  <c r="P88"/>
  <c r="O88"/>
  <c r="N88"/>
  <c r="M88"/>
  <c r="L88"/>
  <c r="K88"/>
  <c r="J88"/>
  <c r="I88"/>
  <c r="H88"/>
  <c r="G88"/>
  <c r="F88"/>
  <c r="E88"/>
  <c r="P79"/>
  <c r="O79"/>
  <c r="N79"/>
  <c r="M79"/>
  <c r="L79"/>
  <c r="K79"/>
  <c r="J79"/>
  <c r="I79"/>
  <c r="H79"/>
  <c r="G79"/>
  <c r="F79"/>
  <c r="E79"/>
  <c r="P78"/>
  <c r="O78"/>
  <c r="N78"/>
  <c r="M78"/>
  <c r="L78"/>
  <c r="K78"/>
  <c r="J78"/>
  <c r="I78"/>
  <c r="H78"/>
  <c r="G78"/>
  <c r="F78"/>
  <c r="E78"/>
  <c r="P77"/>
  <c r="O77"/>
  <c r="N77"/>
  <c r="M77"/>
  <c r="L77"/>
  <c r="K77"/>
  <c r="J77"/>
  <c r="I77"/>
  <c r="H77"/>
  <c r="G77"/>
  <c r="F77"/>
  <c r="E77"/>
  <c r="P76"/>
  <c r="O76"/>
  <c r="N76"/>
  <c r="M76"/>
  <c r="L76"/>
  <c r="K76"/>
  <c r="J76"/>
  <c r="I76"/>
  <c r="H76"/>
  <c r="G76"/>
  <c r="F76"/>
  <c r="E76"/>
  <c r="P75"/>
  <c r="O75"/>
  <c r="N75"/>
  <c r="M75"/>
  <c r="L75"/>
  <c r="K75"/>
  <c r="J75"/>
  <c r="I75"/>
  <c r="H75"/>
  <c r="G75"/>
  <c r="F75"/>
  <c r="E75"/>
  <c r="P74"/>
  <c r="O74"/>
  <c r="N74"/>
  <c r="M74"/>
  <c r="L74"/>
  <c r="K74"/>
  <c r="J74"/>
  <c r="I74"/>
  <c r="H74"/>
  <c r="G74"/>
  <c r="F74"/>
  <c r="E74"/>
  <c r="P73"/>
  <c r="O73"/>
  <c r="N73"/>
  <c r="M73"/>
  <c r="L73"/>
  <c r="K73"/>
  <c r="J73"/>
  <c r="I73"/>
  <c r="H73"/>
  <c r="G73"/>
  <c r="F73"/>
  <c r="E73"/>
  <c r="P72"/>
  <c r="O72"/>
  <c r="N72"/>
  <c r="M72"/>
  <c r="L72"/>
  <c r="K72"/>
  <c r="J72"/>
  <c r="I72"/>
  <c r="H72"/>
  <c r="G72"/>
  <c r="F72"/>
  <c r="E72"/>
  <c r="P63"/>
  <c r="O63"/>
  <c r="N63"/>
  <c r="M63"/>
  <c r="L63"/>
  <c r="K63"/>
  <c r="J63"/>
  <c r="I63"/>
  <c r="H63"/>
  <c r="G63"/>
  <c r="F63"/>
  <c r="E63"/>
  <c r="P62"/>
  <c r="O62"/>
  <c r="N62"/>
  <c r="M62"/>
  <c r="L62"/>
  <c r="K62"/>
  <c r="J62"/>
  <c r="I62"/>
  <c r="H62"/>
  <c r="G62"/>
  <c r="F62"/>
  <c r="E62"/>
  <c r="P61"/>
  <c r="O61"/>
  <c r="N61"/>
  <c r="M61"/>
  <c r="L61"/>
  <c r="K61"/>
  <c r="J61"/>
  <c r="I61"/>
  <c r="H61"/>
  <c r="G61"/>
  <c r="F61"/>
  <c r="E61"/>
  <c r="P60"/>
  <c r="O60"/>
  <c r="N60"/>
  <c r="M60"/>
  <c r="L60"/>
  <c r="K60"/>
  <c r="J60"/>
  <c r="I60"/>
  <c r="H60"/>
  <c r="G60"/>
  <c r="F60"/>
  <c r="E60"/>
  <c r="P59"/>
  <c r="O59"/>
  <c r="N59"/>
  <c r="M59"/>
  <c r="L59"/>
  <c r="K59"/>
  <c r="J59"/>
  <c r="I59"/>
  <c r="H59"/>
  <c r="G59"/>
  <c r="F59"/>
  <c r="E59"/>
  <c r="P58"/>
  <c r="O58"/>
  <c r="N58"/>
  <c r="M58"/>
  <c r="L58"/>
  <c r="K58"/>
  <c r="J58"/>
  <c r="I58"/>
  <c r="H58"/>
  <c r="G58"/>
  <c r="F58"/>
  <c r="E58"/>
  <c r="P57"/>
  <c r="O57"/>
  <c r="N57"/>
  <c r="M57"/>
  <c r="L57"/>
  <c r="K57"/>
  <c r="J57"/>
  <c r="I57"/>
  <c r="H57"/>
  <c r="G57"/>
  <c r="F57"/>
  <c r="E57"/>
  <c r="P56"/>
  <c r="O56"/>
  <c r="N56"/>
  <c r="M56"/>
  <c r="L56"/>
  <c r="K56"/>
  <c r="J56"/>
  <c r="I56"/>
  <c r="H56"/>
  <c r="G56"/>
  <c r="F56"/>
  <c r="E56"/>
  <c r="P55"/>
  <c r="O55"/>
  <c r="N55"/>
  <c r="M55"/>
  <c r="L55"/>
  <c r="K55"/>
  <c r="J55"/>
  <c r="I55"/>
  <c r="H55"/>
  <c r="G55"/>
  <c r="F55"/>
  <c r="E55"/>
  <c r="P54"/>
  <c r="O54"/>
  <c r="N54"/>
  <c r="M54"/>
  <c r="L54"/>
  <c r="K54"/>
  <c r="J54"/>
  <c r="I54"/>
  <c r="H54"/>
  <c r="G54"/>
  <c r="F54"/>
  <c r="E54"/>
  <c r="P44"/>
  <c r="O44"/>
  <c r="N44"/>
  <c r="M44"/>
  <c r="L44"/>
  <c r="K44"/>
  <c r="J44"/>
  <c r="I44"/>
  <c r="H44"/>
  <c r="G44"/>
  <c r="F44"/>
  <c r="E44"/>
  <c r="P43"/>
  <c r="O43"/>
  <c r="N43"/>
  <c r="M43"/>
  <c r="L43"/>
  <c r="K43"/>
  <c r="J43"/>
  <c r="I43"/>
  <c r="H43"/>
  <c r="G43"/>
  <c r="F43"/>
  <c r="E43"/>
  <c r="P42"/>
  <c r="O42"/>
  <c r="N42"/>
  <c r="M42"/>
  <c r="L42"/>
  <c r="K42"/>
  <c r="J42"/>
  <c r="I42"/>
  <c r="H42"/>
  <c r="G42"/>
  <c r="F42"/>
  <c r="E42"/>
  <c r="P41"/>
  <c r="O41"/>
  <c r="N41"/>
  <c r="M41"/>
  <c r="L41"/>
  <c r="K41"/>
  <c r="J41"/>
  <c r="I41"/>
  <c r="H41"/>
  <c r="G41"/>
  <c r="F41"/>
  <c r="E41"/>
  <c r="P40"/>
  <c r="O40"/>
  <c r="N40"/>
  <c r="M40"/>
  <c r="L40"/>
  <c r="K40"/>
  <c r="J40"/>
  <c r="I40"/>
  <c r="H40"/>
  <c r="G40"/>
  <c r="F40"/>
  <c r="E40"/>
  <c r="P39"/>
  <c r="O39"/>
  <c r="N39"/>
  <c r="M39"/>
  <c r="L39"/>
  <c r="K39"/>
  <c r="J39"/>
  <c r="I39"/>
  <c r="H39"/>
  <c r="G39"/>
  <c r="F39"/>
  <c r="E39"/>
  <c r="P38"/>
  <c r="O38"/>
  <c r="N38"/>
  <c r="M38"/>
  <c r="L38"/>
  <c r="K38"/>
  <c r="J38"/>
  <c r="I38"/>
  <c r="H38"/>
  <c r="G38"/>
  <c r="F38"/>
  <c r="E38"/>
  <c r="P37"/>
  <c r="O37"/>
  <c r="N37"/>
  <c r="M37"/>
  <c r="L37"/>
  <c r="K37"/>
  <c r="J37"/>
  <c r="I37"/>
  <c r="H37"/>
  <c r="G37"/>
  <c r="F37"/>
  <c r="E37"/>
  <c r="P36"/>
  <c r="O36"/>
  <c r="N36"/>
  <c r="M36"/>
  <c r="L36"/>
  <c r="K36"/>
  <c r="J36"/>
  <c r="I36"/>
  <c r="H36"/>
  <c r="G36"/>
  <c r="F36"/>
  <c r="E36"/>
  <c r="P35"/>
  <c r="O35"/>
  <c r="N35"/>
  <c r="M35"/>
  <c r="L35"/>
  <c r="K35"/>
  <c r="J35"/>
  <c r="I35"/>
  <c r="H35"/>
  <c r="G35"/>
  <c r="F35"/>
  <c r="E35"/>
  <c r="P25"/>
  <c r="O25"/>
  <c r="N25"/>
  <c r="M25"/>
  <c r="L25"/>
  <c r="K25"/>
  <c r="J25"/>
  <c r="I25"/>
  <c r="H25"/>
  <c r="G25"/>
  <c r="F25"/>
  <c r="E25"/>
  <c r="P24"/>
  <c r="O24"/>
  <c r="N24"/>
  <c r="M24"/>
  <c r="L24"/>
  <c r="K24"/>
  <c r="J24"/>
  <c r="I24"/>
  <c r="H24"/>
  <c r="G24"/>
  <c r="F24"/>
  <c r="E24"/>
  <c r="P23"/>
  <c r="O23"/>
  <c r="N23"/>
  <c r="M23"/>
  <c r="L23"/>
  <c r="K23"/>
  <c r="J23"/>
  <c r="I23"/>
  <c r="H23"/>
  <c r="G23"/>
  <c r="F23"/>
  <c r="E23"/>
  <c r="P22"/>
  <c r="O22"/>
  <c r="N22"/>
  <c r="M22"/>
  <c r="L22"/>
  <c r="K22"/>
  <c r="J22"/>
  <c r="I22"/>
  <c r="H22"/>
  <c r="G22"/>
  <c r="F22"/>
  <c r="E22"/>
  <c r="P21"/>
  <c r="O21"/>
  <c r="N21"/>
  <c r="M21"/>
  <c r="L21"/>
  <c r="K21"/>
  <c r="J21"/>
  <c r="I21"/>
  <c r="H21"/>
  <c r="G21"/>
  <c r="F21"/>
  <c r="E21"/>
  <c r="P20"/>
  <c r="O20"/>
  <c r="N20"/>
  <c r="M20"/>
  <c r="L20"/>
  <c r="K20"/>
  <c r="J20"/>
  <c r="I20"/>
  <c r="H20"/>
  <c r="G20"/>
  <c r="F20"/>
  <c r="E20"/>
  <c r="P19"/>
  <c r="O19"/>
  <c r="N19"/>
  <c r="M19"/>
  <c r="L19"/>
  <c r="K19"/>
  <c r="J19"/>
  <c r="I19"/>
  <c r="H19"/>
  <c r="G19"/>
  <c r="F19"/>
  <c r="E19"/>
  <c r="P18"/>
  <c r="O18"/>
  <c r="N18"/>
  <c r="M18"/>
  <c r="L18"/>
  <c r="K18"/>
  <c r="J18"/>
  <c r="I18"/>
  <c r="H18"/>
  <c r="G18"/>
  <c r="F18"/>
  <c r="E18"/>
  <c r="P17"/>
  <c r="O17"/>
  <c r="N17"/>
  <c r="M17"/>
  <c r="L17"/>
  <c r="K17"/>
  <c r="J17"/>
  <c r="I17"/>
  <c r="H17"/>
  <c r="G17"/>
  <c r="F17"/>
  <c r="E17"/>
  <c r="P16"/>
  <c r="O16"/>
  <c r="N16"/>
  <c r="M16"/>
  <c r="L16"/>
  <c r="K16"/>
  <c r="J16"/>
  <c r="I16"/>
  <c r="H16"/>
  <c r="G16"/>
  <c r="F16"/>
  <c r="E16"/>
  <c r="P15"/>
  <c r="O15"/>
  <c r="N15"/>
  <c r="M15"/>
  <c r="L15"/>
  <c r="K15"/>
  <c r="J15"/>
  <c r="I15"/>
  <c r="H15"/>
  <c r="G15"/>
  <c r="F15"/>
  <c r="E15"/>
  <c r="P14"/>
  <c r="O14"/>
  <c r="N14"/>
  <c r="M14"/>
  <c r="L14"/>
  <c r="K14"/>
  <c r="J14"/>
  <c r="I14"/>
  <c r="H14"/>
  <c r="G14"/>
  <c r="F14"/>
  <c r="E14"/>
  <c r="P13"/>
  <c r="O13"/>
  <c r="N13"/>
  <c r="M13"/>
  <c r="L13"/>
  <c r="K13"/>
  <c r="J13"/>
  <c r="I13"/>
  <c r="H13"/>
  <c r="G13"/>
  <c r="F13"/>
  <c r="E13"/>
  <c r="R9"/>
  <c r="P100" i="9"/>
  <c r="O100"/>
  <c r="N100"/>
  <c r="M100"/>
  <c r="L100"/>
  <c r="K100"/>
  <c r="J100"/>
  <c r="I100"/>
  <c r="H100"/>
  <c r="G100"/>
  <c r="F100"/>
  <c r="E100"/>
  <c r="P99"/>
  <c r="O99"/>
  <c r="N99"/>
  <c r="M99"/>
  <c r="L99"/>
  <c r="K99"/>
  <c r="J99"/>
  <c r="I99"/>
  <c r="H99"/>
  <c r="G99"/>
  <c r="F99"/>
  <c r="E99"/>
  <c r="P98"/>
  <c r="O98"/>
  <c r="N98"/>
  <c r="M98"/>
  <c r="L98"/>
  <c r="K98"/>
  <c r="J98"/>
  <c r="I98"/>
  <c r="H98"/>
  <c r="G98"/>
  <c r="F98"/>
  <c r="E98"/>
  <c r="P97"/>
  <c r="O97"/>
  <c r="N97"/>
  <c r="M97"/>
  <c r="L97"/>
  <c r="K97"/>
  <c r="J97"/>
  <c r="I97"/>
  <c r="H97"/>
  <c r="G97"/>
  <c r="F97"/>
  <c r="E97"/>
  <c r="P96"/>
  <c r="O96"/>
  <c r="N96"/>
  <c r="M96"/>
  <c r="L96"/>
  <c r="K96"/>
  <c r="J96"/>
  <c r="I96"/>
  <c r="H96"/>
  <c r="G96"/>
  <c r="F96"/>
  <c r="E96"/>
  <c r="P95"/>
  <c r="O95"/>
  <c r="N95"/>
  <c r="M95"/>
  <c r="L95"/>
  <c r="K95"/>
  <c r="J95"/>
  <c r="I95"/>
  <c r="H95"/>
  <c r="G95"/>
  <c r="F95"/>
  <c r="E95"/>
  <c r="P94"/>
  <c r="O94"/>
  <c r="N94"/>
  <c r="M94"/>
  <c r="L94"/>
  <c r="K94"/>
  <c r="J94"/>
  <c r="I94"/>
  <c r="H94"/>
  <c r="G94"/>
  <c r="F94"/>
  <c r="E94"/>
  <c r="P93"/>
  <c r="O93"/>
  <c r="N93"/>
  <c r="M93"/>
  <c r="L93"/>
  <c r="K93"/>
  <c r="J93"/>
  <c r="I93"/>
  <c r="H93"/>
  <c r="G93"/>
  <c r="F93"/>
  <c r="E93"/>
  <c r="P92"/>
  <c r="O92"/>
  <c r="N92"/>
  <c r="M92"/>
  <c r="L92"/>
  <c r="K92"/>
  <c r="J92"/>
  <c r="I92"/>
  <c r="H92"/>
  <c r="G92"/>
  <c r="F92"/>
  <c r="E92"/>
  <c r="P91"/>
  <c r="O91"/>
  <c r="N91"/>
  <c r="M91"/>
  <c r="L91"/>
  <c r="K91"/>
  <c r="J91"/>
  <c r="I91"/>
  <c r="H91"/>
  <c r="G91"/>
  <c r="F91"/>
  <c r="E91"/>
  <c r="P90"/>
  <c r="O90"/>
  <c r="N90"/>
  <c r="M90"/>
  <c r="L90"/>
  <c r="K90"/>
  <c r="J90"/>
  <c r="I90"/>
  <c r="H90"/>
  <c r="G90"/>
  <c r="F90"/>
  <c r="E90"/>
  <c r="P89"/>
  <c r="O89"/>
  <c r="N89"/>
  <c r="M89"/>
  <c r="L89"/>
  <c r="K89"/>
  <c r="J89"/>
  <c r="I89"/>
  <c r="H89"/>
  <c r="G89"/>
  <c r="F89"/>
  <c r="E89"/>
  <c r="P88"/>
  <c r="O88"/>
  <c r="N88"/>
  <c r="M88"/>
  <c r="L88"/>
  <c r="K88"/>
  <c r="J88"/>
  <c r="I88"/>
  <c r="H88"/>
  <c r="G88"/>
  <c r="F88"/>
  <c r="E88"/>
  <c r="P79"/>
  <c r="O79"/>
  <c r="N79"/>
  <c r="M79"/>
  <c r="L79"/>
  <c r="K79"/>
  <c r="J79"/>
  <c r="I79"/>
  <c r="H79"/>
  <c r="G79"/>
  <c r="F79"/>
  <c r="E79"/>
  <c r="P78"/>
  <c r="O78"/>
  <c r="N78"/>
  <c r="M78"/>
  <c r="L78"/>
  <c r="K78"/>
  <c r="J78"/>
  <c r="I78"/>
  <c r="H78"/>
  <c r="G78"/>
  <c r="F78"/>
  <c r="E78"/>
  <c r="P77"/>
  <c r="O77"/>
  <c r="N77"/>
  <c r="M77"/>
  <c r="L77"/>
  <c r="K77"/>
  <c r="J77"/>
  <c r="I77"/>
  <c r="H77"/>
  <c r="G77"/>
  <c r="F77"/>
  <c r="E77"/>
  <c r="P76"/>
  <c r="O76"/>
  <c r="N76"/>
  <c r="M76"/>
  <c r="L76"/>
  <c r="K76"/>
  <c r="J76"/>
  <c r="I76"/>
  <c r="H76"/>
  <c r="G76"/>
  <c r="F76"/>
  <c r="E76"/>
  <c r="P75"/>
  <c r="O75"/>
  <c r="N75"/>
  <c r="M75"/>
  <c r="L75"/>
  <c r="K75"/>
  <c r="J75"/>
  <c r="I75"/>
  <c r="H75"/>
  <c r="G75"/>
  <c r="F75"/>
  <c r="E75"/>
  <c r="P74"/>
  <c r="O74"/>
  <c r="N74"/>
  <c r="M74"/>
  <c r="L74"/>
  <c r="K74"/>
  <c r="J74"/>
  <c r="I74"/>
  <c r="H74"/>
  <c r="G74"/>
  <c r="F74"/>
  <c r="E74"/>
  <c r="P73"/>
  <c r="O73"/>
  <c r="N73"/>
  <c r="M73"/>
  <c r="L73"/>
  <c r="K73"/>
  <c r="J73"/>
  <c r="I73"/>
  <c r="H73"/>
  <c r="G73"/>
  <c r="F73"/>
  <c r="E73"/>
  <c r="P72"/>
  <c r="O72"/>
  <c r="N72"/>
  <c r="M72"/>
  <c r="L72"/>
  <c r="K72"/>
  <c r="J72"/>
  <c r="I72"/>
  <c r="H72"/>
  <c r="G72"/>
  <c r="F72"/>
  <c r="E72"/>
  <c r="P63"/>
  <c r="O63"/>
  <c r="N63"/>
  <c r="M63"/>
  <c r="L63"/>
  <c r="K63"/>
  <c r="J63"/>
  <c r="I63"/>
  <c r="H63"/>
  <c r="G63"/>
  <c r="F63"/>
  <c r="E63"/>
  <c r="P62"/>
  <c r="O62"/>
  <c r="N62"/>
  <c r="M62"/>
  <c r="L62"/>
  <c r="K62"/>
  <c r="J62"/>
  <c r="I62"/>
  <c r="H62"/>
  <c r="G62"/>
  <c r="F62"/>
  <c r="E62"/>
  <c r="P61"/>
  <c r="O61"/>
  <c r="N61"/>
  <c r="M61"/>
  <c r="L61"/>
  <c r="K61"/>
  <c r="J61"/>
  <c r="I61"/>
  <c r="H61"/>
  <c r="G61"/>
  <c r="F61"/>
  <c r="E61"/>
  <c r="P60"/>
  <c r="O60"/>
  <c r="N60"/>
  <c r="M60"/>
  <c r="L60"/>
  <c r="K60"/>
  <c r="J60"/>
  <c r="I60"/>
  <c r="H60"/>
  <c r="G60"/>
  <c r="F60"/>
  <c r="E60"/>
  <c r="P59"/>
  <c r="O59"/>
  <c r="N59"/>
  <c r="M59"/>
  <c r="L59"/>
  <c r="K59"/>
  <c r="J59"/>
  <c r="I59"/>
  <c r="H59"/>
  <c r="G59"/>
  <c r="F59"/>
  <c r="E59"/>
  <c r="P58"/>
  <c r="O58"/>
  <c r="N58"/>
  <c r="M58"/>
  <c r="L58"/>
  <c r="K58"/>
  <c r="J58"/>
  <c r="I58"/>
  <c r="H58"/>
  <c r="G58"/>
  <c r="F58"/>
  <c r="E58"/>
  <c r="P57"/>
  <c r="O57"/>
  <c r="N57"/>
  <c r="M57"/>
  <c r="L57"/>
  <c r="K57"/>
  <c r="J57"/>
  <c r="I57"/>
  <c r="H57"/>
  <c r="G57"/>
  <c r="F57"/>
  <c r="E57"/>
  <c r="P56"/>
  <c r="O56"/>
  <c r="N56"/>
  <c r="M56"/>
  <c r="L56"/>
  <c r="K56"/>
  <c r="J56"/>
  <c r="I56"/>
  <c r="H56"/>
  <c r="G56"/>
  <c r="F56"/>
  <c r="E56"/>
  <c r="P55"/>
  <c r="O55"/>
  <c r="N55"/>
  <c r="M55"/>
  <c r="L55"/>
  <c r="K55"/>
  <c r="J55"/>
  <c r="I55"/>
  <c r="H55"/>
  <c r="G55"/>
  <c r="F55"/>
  <c r="E55"/>
  <c r="P54"/>
  <c r="O54"/>
  <c r="N54"/>
  <c r="M54"/>
  <c r="L54"/>
  <c r="K54"/>
  <c r="J54"/>
  <c r="I54"/>
  <c r="H54"/>
  <c r="G54"/>
  <c r="F54"/>
  <c r="E54"/>
  <c r="P44"/>
  <c r="O44"/>
  <c r="N44"/>
  <c r="M44"/>
  <c r="L44"/>
  <c r="K44"/>
  <c r="J44"/>
  <c r="I44"/>
  <c r="H44"/>
  <c r="G44"/>
  <c r="F44"/>
  <c r="E44"/>
  <c r="P43"/>
  <c r="O43"/>
  <c r="N43"/>
  <c r="M43"/>
  <c r="L43"/>
  <c r="K43"/>
  <c r="J43"/>
  <c r="I43"/>
  <c r="H43"/>
  <c r="G43"/>
  <c r="F43"/>
  <c r="E43"/>
  <c r="P42"/>
  <c r="O42"/>
  <c r="N42"/>
  <c r="M42"/>
  <c r="L42"/>
  <c r="K42"/>
  <c r="J42"/>
  <c r="I42"/>
  <c r="H42"/>
  <c r="G42"/>
  <c r="F42"/>
  <c r="E42"/>
  <c r="P41"/>
  <c r="O41"/>
  <c r="N41"/>
  <c r="M41"/>
  <c r="L41"/>
  <c r="K41"/>
  <c r="J41"/>
  <c r="I41"/>
  <c r="H41"/>
  <c r="G41"/>
  <c r="F41"/>
  <c r="E41"/>
  <c r="P40"/>
  <c r="O40"/>
  <c r="N40"/>
  <c r="M40"/>
  <c r="L40"/>
  <c r="K40"/>
  <c r="J40"/>
  <c r="I40"/>
  <c r="H40"/>
  <c r="G40"/>
  <c r="F40"/>
  <c r="E40"/>
  <c r="P39"/>
  <c r="O39"/>
  <c r="N39"/>
  <c r="M39"/>
  <c r="L39"/>
  <c r="K39"/>
  <c r="J39"/>
  <c r="I39"/>
  <c r="H39"/>
  <c r="G39"/>
  <c r="F39"/>
  <c r="E39"/>
  <c r="P38"/>
  <c r="O38"/>
  <c r="N38"/>
  <c r="M38"/>
  <c r="L38"/>
  <c r="K38"/>
  <c r="J38"/>
  <c r="I38"/>
  <c r="H38"/>
  <c r="G38"/>
  <c r="F38"/>
  <c r="E38"/>
  <c r="P37"/>
  <c r="O37"/>
  <c r="N37"/>
  <c r="M37"/>
  <c r="L37"/>
  <c r="K37"/>
  <c r="J37"/>
  <c r="I37"/>
  <c r="H37"/>
  <c r="G37"/>
  <c r="F37"/>
  <c r="E37"/>
  <c r="P36"/>
  <c r="O36"/>
  <c r="N36"/>
  <c r="M36"/>
  <c r="L36"/>
  <c r="K36"/>
  <c r="J36"/>
  <c r="I36"/>
  <c r="H36"/>
  <c r="G36"/>
  <c r="F36"/>
  <c r="E36"/>
  <c r="P35"/>
  <c r="O35"/>
  <c r="N35"/>
  <c r="M35"/>
  <c r="L35"/>
  <c r="K35"/>
  <c r="J35"/>
  <c r="I35"/>
  <c r="H35"/>
  <c r="G35"/>
  <c r="F35"/>
  <c r="E35"/>
  <c r="P25"/>
  <c r="O25"/>
  <c r="N25"/>
  <c r="M25"/>
  <c r="L25"/>
  <c r="K25"/>
  <c r="J25"/>
  <c r="I25"/>
  <c r="H25"/>
  <c r="G25"/>
  <c r="F25"/>
  <c r="E25"/>
  <c r="P24"/>
  <c r="O24"/>
  <c r="N24"/>
  <c r="M24"/>
  <c r="L24"/>
  <c r="K24"/>
  <c r="J24"/>
  <c r="I24"/>
  <c r="H24"/>
  <c r="G24"/>
  <c r="F24"/>
  <c r="E24"/>
  <c r="P23"/>
  <c r="O23"/>
  <c r="N23"/>
  <c r="M23"/>
  <c r="L23"/>
  <c r="K23"/>
  <c r="J23"/>
  <c r="I23"/>
  <c r="H23"/>
  <c r="G23"/>
  <c r="F23"/>
  <c r="E23"/>
  <c r="P22"/>
  <c r="O22"/>
  <c r="N22"/>
  <c r="M22"/>
  <c r="L22"/>
  <c r="K22"/>
  <c r="J22"/>
  <c r="I22"/>
  <c r="H22"/>
  <c r="G22"/>
  <c r="F22"/>
  <c r="E22"/>
  <c r="P21"/>
  <c r="O21"/>
  <c r="N21"/>
  <c r="M21"/>
  <c r="L21"/>
  <c r="K21"/>
  <c r="J21"/>
  <c r="I21"/>
  <c r="H21"/>
  <c r="G21"/>
  <c r="F21"/>
  <c r="E21"/>
  <c r="P20"/>
  <c r="O20"/>
  <c r="N20"/>
  <c r="M20"/>
  <c r="L20"/>
  <c r="K20"/>
  <c r="J20"/>
  <c r="I20"/>
  <c r="H20"/>
  <c r="G20"/>
  <c r="F20"/>
  <c r="E20"/>
  <c r="P19"/>
  <c r="O19"/>
  <c r="N19"/>
  <c r="M19"/>
  <c r="L19"/>
  <c r="K19"/>
  <c r="J19"/>
  <c r="I19"/>
  <c r="H19"/>
  <c r="G19"/>
  <c r="F19"/>
  <c r="E19"/>
  <c r="P18"/>
  <c r="O18"/>
  <c r="N18"/>
  <c r="M18"/>
  <c r="L18"/>
  <c r="K18"/>
  <c r="J18"/>
  <c r="I18"/>
  <c r="H18"/>
  <c r="G18"/>
  <c r="F18"/>
  <c r="E18"/>
  <c r="P17"/>
  <c r="O17"/>
  <c r="N17"/>
  <c r="M17"/>
  <c r="L17"/>
  <c r="K17"/>
  <c r="J17"/>
  <c r="I17"/>
  <c r="H17"/>
  <c r="G17"/>
  <c r="F17"/>
  <c r="E17"/>
  <c r="P16"/>
  <c r="O16"/>
  <c r="N16"/>
  <c r="M16"/>
  <c r="L16"/>
  <c r="K16"/>
  <c r="J16"/>
  <c r="I16"/>
  <c r="H16"/>
  <c r="G16"/>
  <c r="F16"/>
  <c r="E16"/>
  <c r="P15"/>
  <c r="O15"/>
  <c r="N15"/>
  <c r="M15"/>
  <c r="L15"/>
  <c r="K15"/>
  <c r="J15"/>
  <c r="I15"/>
  <c r="H15"/>
  <c r="G15"/>
  <c r="F15"/>
  <c r="E15"/>
  <c r="P14"/>
  <c r="O14"/>
  <c r="N14"/>
  <c r="M14"/>
  <c r="L14"/>
  <c r="K14"/>
  <c r="J14"/>
  <c r="I14"/>
  <c r="H14"/>
  <c r="G14"/>
  <c r="F14"/>
  <c r="E14"/>
  <c r="P13"/>
  <c r="O13"/>
  <c r="N13"/>
  <c r="M13"/>
  <c r="L13"/>
  <c r="K13"/>
  <c r="J13"/>
  <c r="I13"/>
  <c r="H13"/>
  <c r="G13"/>
  <c r="F13"/>
  <c r="E13"/>
  <c r="R9"/>
  <c r="P201" i="1"/>
  <c r="O201"/>
  <c r="N201"/>
  <c r="M201"/>
  <c r="L201"/>
  <c r="K201"/>
  <c r="J201"/>
  <c r="I201"/>
  <c r="H201"/>
  <c r="G201"/>
  <c r="F201"/>
  <c r="E201"/>
  <c r="P200"/>
  <c r="O200"/>
  <c r="N200"/>
  <c r="M200"/>
  <c r="L200"/>
  <c r="K200"/>
  <c r="J200"/>
  <c r="I200"/>
  <c r="H200"/>
  <c r="G200"/>
  <c r="F200"/>
  <c r="E200"/>
  <c r="P199"/>
  <c r="O199"/>
  <c r="N199"/>
  <c r="M199"/>
  <c r="L199"/>
  <c r="K199"/>
  <c r="J199"/>
  <c r="I199"/>
  <c r="H199"/>
  <c r="G199"/>
  <c r="F199"/>
  <c r="E199"/>
  <c r="P198"/>
  <c r="O198"/>
  <c r="N198"/>
  <c r="M198"/>
  <c r="L198"/>
  <c r="K198"/>
  <c r="J198"/>
  <c r="I198"/>
  <c r="H198"/>
  <c r="G198"/>
  <c r="F198"/>
  <c r="E198"/>
  <c r="P197"/>
  <c r="O197"/>
  <c r="N197"/>
  <c r="M197"/>
  <c r="L197"/>
  <c r="K197"/>
  <c r="J197"/>
  <c r="I197"/>
  <c r="H197"/>
  <c r="G197"/>
  <c r="F197"/>
  <c r="E197"/>
  <c r="P196"/>
  <c r="O196"/>
  <c r="N196"/>
  <c r="M196"/>
  <c r="L196"/>
  <c r="K196"/>
  <c r="J196"/>
  <c r="I196"/>
  <c r="H196"/>
  <c r="G196"/>
  <c r="F196"/>
  <c r="E196"/>
  <c r="P195"/>
  <c r="O195"/>
  <c r="N195"/>
  <c r="M195"/>
  <c r="L195"/>
  <c r="K195"/>
  <c r="J195"/>
  <c r="I195"/>
  <c r="H195"/>
  <c r="G195"/>
  <c r="F195"/>
  <c r="E195"/>
  <c r="P194"/>
  <c r="O194"/>
  <c r="N194"/>
  <c r="M194"/>
  <c r="L194"/>
  <c r="K194"/>
  <c r="J194"/>
  <c r="I194"/>
  <c r="H194"/>
  <c r="G194"/>
  <c r="F194"/>
  <c r="E194"/>
  <c r="B194"/>
  <c r="P193"/>
  <c r="O193"/>
  <c r="N193"/>
  <c r="M193"/>
  <c r="L193"/>
  <c r="K193"/>
  <c r="J193"/>
  <c r="I193"/>
  <c r="H193"/>
  <c r="G193"/>
  <c r="F193"/>
  <c r="E193"/>
  <c r="P192"/>
  <c r="O192"/>
  <c r="N192"/>
  <c r="M192"/>
  <c r="L192"/>
  <c r="K192"/>
  <c r="J192"/>
  <c r="I192"/>
  <c r="H192"/>
  <c r="G192"/>
  <c r="F192"/>
  <c r="E192"/>
  <c r="P191"/>
  <c r="O191"/>
  <c r="N191"/>
  <c r="M191"/>
  <c r="L191"/>
  <c r="K191"/>
  <c r="J191"/>
  <c r="I191"/>
  <c r="H191"/>
  <c r="G191"/>
  <c r="F191"/>
  <c r="E191"/>
  <c r="P190"/>
  <c r="O190"/>
  <c r="N190"/>
  <c r="M190"/>
  <c r="L190"/>
  <c r="K190"/>
  <c r="J190"/>
  <c r="I190"/>
  <c r="H190"/>
  <c r="G190"/>
  <c r="F190"/>
  <c r="E190"/>
  <c r="P181"/>
  <c r="O181"/>
  <c r="N181"/>
  <c r="M181"/>
  <c r="L181"/>
  <c r="K181"/>
  <c r="J181"/>
  <c r="I181"/>
  <c r="H181"/>
  <c r="G181"/>
  <c r="F181"/>
  <c r="E181"/>
  <c r="P180"/>
  <c r="O180"/>
  <c r="N180"/>
  <c r="M180"/>
  <c r="L180"/>
  <c r="K180"/>
  <c r="J180"/>
  <c r="I180"/>
  <c r="H180"/>
  <c r="G180"/>
  <c r="F180"/>
  <c r="E180"/>
  <c r="P179"/>
  <c r="O179"/>
  <c r="N179"/>
  <c r="M179"/>
  <c r="L179"/>
  <c r="K179"/>
  <c r="J179"/>
  <c r="I179"/>
  <c r="H179"/>
  <c r="G179"/>
  <c r="F179"/>
  <c r="E179"/>
  <c r="P178"/>
  <c r="O178"/>
  <c r="N178"/>
  <c r="M178"/>
  <c r="L178"/>
  <c r="K178"/>
  <c r="J178"/>
  <c r="I178"/>
  <c r="H178"/>
  <c r="G178"/>
  <c r="F178"/>
  <c r="E178"/>
  <c r="P177"/>
  <c r="O177"/>
  <c r="N177"/>
  <c r="M177"/>
  <c r="L177"/>
  <c r="K177"/>
  <c r="J177"/>
  <c r="I177"/>
  <c r="H177"/>
  <c r="G177"/>
  <c r="F177"/>
  <c r="E177"/>
  <c r="P176"/>
  <c r="O176"/>
  <c r="N176"/>
  <c r="M176"/>
  <c r="L176"/>
  <c r="K176"/>
  <c r="J176"/>
  <c r="I176"/>
  <c r="H176"/>
  <c r="G176"/>
  <c r="F176"/>
  <c r="E176"/>
  <c r="B176"/>
  <c r="P175"/>
  <c r="O175"/>
  <c r="N175"/>
  <c r="M175"/>
  <c r="L175"/>
  <c r="K175"/>
  <c r="J175"/>
  <c r="I175"/>
  <c r="H175"/>
  <c r="G175"/>
  <c r="F175"/>
  <c r="E175"/>
  <c r="P174"/>
  <c r="O174"/>
  <c r="N174"/>
  <c r="M174"/>
  <c r="L174"/>
  <c r="K174"/>
  <c r="J174"/>
  <c r="I174"/>
  <c r="H174"/>
  <c r="G174"/>
  <c r="F174"/>
  <c r="E174"/>
  <c r="P173"/>
  <c r="O173"/>
  <c r="N173"/>
  <c r="M173"/>
  <c r="L173"/>
  <c r="K173"/>
  <c r="J173"/>
  <c r="I173"/>
  <c r="H173"/>
  <c r="G173"/>
  <c r="F173"/>
  <c r="E173"/>
  <c r="P172"/>
  <c r="O172"/>
  <c r="N172"/>
  <c r="M172"/>
  <c r="L172"/>
  <c r="K172"/>
  <c r="J172"/>
  <c r="I172"/>
  <c r="H172"/>
  <c r="G172"/>
  <c r="F172"/>
  <c r="E172"/>
  <c r="P171"/>
  <c r="O171"/>
  <c r="N171"/>
  <c r="M171"/>
  <c r="L171"/>
  <c r="K171"/>
  <c r="J171"/>
  <c r="I171"/>
  <c r="H171"/>
  <c r="G171"/>
  <c r="F171"/>
  <c r="E171"/>
  <c r="P170"/>
  <c r="O170"/>
  <c r="N170"/>
  <c r="M170"/>
  <c r="L170"/>
  <c r="K170"/>
  <c r="J170"/>
  <c r="I170"/>
  <c r="H170"/>
  <c r="G170"/>
  <c r="F170"/>
  <c r="E170"/>
  <c r="P169"/>
  <c r="O169"/>
  <c r="N169"/>
  <c r="M169"/>
  <c r="L169"/>
  <c r="K169"/>
  <c r="J169"/>
  <c r="I169"/>
  <c r="H169"/>
  <c r="G169"/>
  <c r="F169"/>
  <c r="E169"/>
  <c r="P168"/>
  <c r="O168"/>
  <c r="N168"/>
  <c r="M168"/>
  <c r="L168"/>
  <c r="K168"/>
  <c r="J168"/>
  <c r="I168"/>
  <c r="H168"/>
  <c r="G168"/>
  <c r="F168"/>
  <c r="E168"/>
  <c r="P167"/>
  <c r="O167"/>
  <c r="N167"/>
  <c r="M167"/>
  <c r="L167"/>
  <c r="K167"/>
  <c r="J167"/>
  <c r="I167"/>
  <c r="H167"/>
  <c r="G167"/>
  <c r="F167"/>
  <c r="E167"/>
  <c r="P158"/>
  <c r="O158"/>
  <c r="N158"/>
  <c r="M158"/>
  <c r="L158"/>
  <c r="K158"/>
  <c r="J158"/>
  <c r="I158"/>
  <c r="H158"/>
  <c r="G158"/>
  <c r="F158"/>
  <c r="E158"/>
  <c r="P157"/>
  <c r="O157"/>
  <c r="N157"/>
  <c r="M157"/>
  <c r="L157"/>
  <c r="K157"/>
  <c r="J157"/>
  <c r="I157"/>
  <c r="H157"/>
  <c r="G157"/>
  <c r="F157"/>
  <c r="E157"/>
  <c r="P156"/>
  <c r="O156"/>
  <c r="N156"/>
  <c r="M156"/>
  <c r="L156"/>
  <c r="K156"/>
  <c r="J156"/>
  <c r="I156"/>
  <c r="H156"/>
  <c r="G156"/>
  <c r="F156"/>
  <c r="E156"/>
  <c r="P155"/>
  <c r="O155"/>
  <c r="N155"/>
  <c r="M155"/>
  <c r="L155"/>
  <c r="K155"/>
  <c r="J155"/>
  <c r="I155"/>
  <c r="H155"/>
  <c r="G155"/>
  <c r="F155"/>
  <c r="E155"/>
  <c r="P154"/>
  <c r="O154"/>
  <c r="N154"/>
  <c r="M154"/>
  <c r="L154"/>
  <c r="K154"/>
  <c r="J154"/>
  <c r="I154"/>
  <c r="H154"/>
  <c r="G154"/>
  <c r="F154"/>
  <c r="E154"/>
  <c r="P153"/>
  <c r="O153"/>
  <c r="N153"/>
  <c r="M153"/>
  <c r="L153"/>
  <c r="K153"/>
  <c r="J153"/>
  <c r="I153"/>
  <c r="H153"/>
  <c r="G153"/>
  <c r="F153"/>
  <c r="E153"/>
  <c r="P152"/>
  <c r="O152"/>
  <c r="N152"/>
  <c r="M152"/>
  <c r="L152"/>
  <c r="K152"/>
  <c r="J152"/>
  <c r="I152"/>
  <c r="H152"/>
  <c r="G152"/>
  <c r="F152"/>
  <c r="E152"/>
  <c r="P151"/>
  <c r="O151"/>
  <c r="N151"/>
  <c r="M151"/>
  <c r="L151"/>
  <c r="K151"/>
  <c r="J151"/>
  <c r="I151"/>
  <c r="H151"/>
  <c r="G151"/>
  <c r="F151"/>
  <c r="E151"/>
  <c r="P150"/>
  <c r="O150"/>
  <c r="N150"/>
  <c r="M150"/>
  <c r="L150"/>
  <c r="K150"/>
  <c r="J150"/>
  <c r="I150"/>
  <c r="H150"/>
  <c r="G150"/>
  <c r="F150"/>
  <c r="E150"/>
  <c r="T149"/>
  <c r="P149"/>
  <c r="O149"/>
  <c r="N149"/>
  <c r="M149"/>
  <c r="L149"/>
  <c r="K149"/>
  <c r="J149"/>
  <c r="I149"/>
  <c r="H149"/>
  <c r="G149"/>
  <c r="F149"/>
  <c r="E149"/>
  <c r="T148"/>
  <c r="P148"/>
  <c r="O148"/>
  <c r="N148"/>
  <c r="M148"/>
  <c r="L148"/>
  <c r="K148"/>
  <c r="J148"/>
  <c r="I148"/>
  <c r="H148"/>
  <c r="G148"/>
  <c r="F148"/>
  <c r="E148"/>
  <c r="T147"/>
  <c r="P147"/>
  <c r="O147"/>
  <c r="N147"/>
  <c r="M147"/>
  <c r="L147"/>
  <c r="K147"/>
  <c r="J147"/>
  <c r="I147"/>
  <c r="H147"/>
  <c r="G147"/>
  <c r="F147"/>
  <c r="E147"/>
  <c r="T146"/>
  <c r="P146"/>
  <c r="O146"/>
  <c r="N146"/>
  <c r="M146"/>
  <c r="L146"/>
  <c r="K146"/>
  <c r="J146"/>
  <c r="I146"/>
  <c r="H146"/>
  <c r="G146"/>
  <c r="F146"/>
  <c r="E146"/>
  <c r="T145"/>
  <c r="P145"/>
  <c r="O145"/>
  <c r="N145"/>
  <c r="M145"/>
  <c r="L145"/>
  <c r="K145"/>
  <c r="J145"/>
  <c r="I145"/>
  <c r="H145"/>
  <c r="G145"/>
  <c r="F145"/>
  <c r="E145"/>
  <c r="T144"/>
  <c r="P144"/>
  <c r="O144"/>
  <c r="N144"/>
  <c r="M144"/>
  <c r="L144"/>
  <c r="K144"/>
  <c r="J144"/>
  <c r="I144"/>
  <c r="H144"/>
  <c r="G144"/>
  <c r="F144"/>
  <c r="E144"/>
  <c r="P143"/>
  <c r="O143"/>
  <c r="N143"/>
  <c r="M143"/>
  <c r="L143"/>
  <c r="K143"/>
  <c r="J143"/>
  <c r="I143"/>
  <c r="H143"/>
  <c r="G143"/>
  <c r="F143"/>
  <c r="E143"/>
  <c r="P142"/>
  <c r="O142"/>
  <c r="N142"/>
  <c r="M142"/>
  <c r="L142"/>
  <c r="K142"/>
  <c r="J142"/>
  <c r="I142"/>
  <c r="H142"/>
  <c r="G142"/>
  <c r="F142"/>
  <c r="E142"/>
  <c r="P141"/>
  <c r="O141"/>
  <c r="N141"/>
  <c r="M141"/>
  <c r="L141"/>
  <c r="K141"/>
  <c r="J141"/>
  <c r="I141"/>
  <c r="H141"/>
  <c r="G141"/>
  <c r="F141"/>
  <c r="E141"/>
  <c r="P140"/>
  <c r="O140"/>
  <c r="N140"/>
  <c r="M140"/>
  <c r="L140"/>
  <c r="K140"/>
  <c r="J140"/>
  <c r="I140"/>
  <c r="H140"/>
  <c r="G140"/>
  <c r="F140"/>
  <c r="E140"/>
  <c r="P139"/>
  <c r="O139"/>
  <c r="N139"/>
  <c r="M139"/>
  <c r="L139"/>
  <c r="K139"/>
  <c r="J139"/>
  <c r="I139"/>
  <c r="H139"/>
  <c r="G139"/>
  <c r="F139"/>
  <c r="E139"/>
  <c r="P138"/>
  <c r="O138"/>
  <c r="N138"/>
  <c r="M138"/>
  <c r="L138"/>
  <c r="K138"/>
  <c r="J138"/>
  <c r="I138"/>
  <c r="H138"/>
  <c r="G138"/>
  <c r="F138"/>
  <c r="E138"/>
  <c r="P137"/>
  <c r="O137"/>
  <c r="N137"/>
  <c r="M137"/>
  <c r="L137"/>
  <c r="K137"/>
  <c r="J137"/>
  <c r="I137"/>
  <c r="H137"/>
  <c r="G137"/>
  <c r="F137"/>
  <c r="E137"/>
  <c r="P136"/>
  <c r="O136"/>
  <c r="N136"/>
  <c r="M136"/>
  <c r="L136"/>
  <c r="K136"/>
  <c r="J136"/>
  <c r="I136"/>
  <c r="H136"/>
  <c r="G136"/>
  <c r="F136"/>
  <c r="E136"/>
  <c r="P135"/>
  <c r="O135"/>
  <c r="N135"/>
  <c r="M135"/>
  <c r="L135"/>
  <c r="K135"/>
  <c r="J135"/>
  <c r="I135"/>
  <c r="H135"/>
  <c r="G135"/>
  <c r="F135"/>
  <c r="E135"/>
  <c r="B135"/>
  <c r="P134"/>
  <c r="O134"/>
  <c r="N134"/>
  <c r="M134"/>
  <c r="L134"/>
  <c r="K134"/>
  <c r="J134"/>
  <c r="I134"/>
  <c r="H134"/>
  <c r="G134"/>
  <c r="F134"/>
  <c r="E134"/>
  <c r="B134"/>
  <c r="P133"/>
  <c r="O133"/>
  <c r="N133"/>
  <c r="M133"/>
  <c r="L133"/>
  <c r="K133"/>
  <c r="J133"/>
  <c r="I133"/>
  <c r="H133"/>
  <c r="G133"/>
  <c r="F133"/>
  <c r="E133"/>
  <c r="B133"/>
  <c r="P132"/>
  <c r="O132"/>
  <c r="N132"/>
  <c r="M132"/>
  <c r="L132"/>
  <c r="K132"/>
  <c r="J132"/>
  <c r="I132"/>
  <c r="H132"/>
  <c r="G132"/>
  <c r="F132"/>
  <c r="E132"/>
  <c r="P131"/>
  <c r="O131"/>
  <c r="N131"/>
  <c r="M131"/>
  <c r="L131"/>
  <c r="K131"/>
  <c r="J131"/>
  <c r="I131"/>
  <c r="H131"/>
  <c r="G131"/>
  <c r="F131"/>
  <c r="E131"/>
  <c r="P130"/>
  <c r="O130"/>
  <c r="N130"/>
  <c r="M130"/>
  <c r="L130"/>
  <c r="K130"/>
  <c r="J130"/>
  <c r="I130"/>
  <c r="H130"/>
  <c r="G130"/>
  <c r="F130"/>
  <c r="E130"/>
  <c r="P129"/>
  <c r="O129"/>
  <c r="N129"/>
  <c r="M129"/>
  <c r="L129"/>
  <c r="K129"/>
  <c r="J129"/>
  <c r="I129"/>
  <c r="H129"/>
  <c r="G129"/>
  <c r="F129"/>
  <c r="E129"/>
  <c r="P128"/>
  <c r="O128"/>
  <c r="N128"/>
  <c r="M128"/>
  <c r="L128"/>
  <c r="K128"/>
  <c r="J128"/>
  <c r="I128"/>
  <c r="H128"/>
  <c r="G128"/>
  <c r="F128"/>
  <c r="E128"/>
  <c r="P127"/>
  <c r="O127"/>
  <c r="N127"/>
  <c r="M127"/>
  <c r="L127"/>
  <c r="K127"/>
  <c r="J127"/>
  <c r="I127"/>
  <c r="H127"/>
  <c r="G127"/>
  <c r="F127"/>
  <c r="E127"/>
  <c r="P126"/>
  <c r="O126"/>
  <c r="N126"/>
  <c r="M126"/>
  <c r="L126"/>
  <c r="K126"/>
  <c r="J126"/>
  <c r="I126"/>
  <c r="H126"/>
  <c r="G126"/>
  <c r="F126"/>
  <c r="E126"/>
  <c r="P119"/>
  <c r="O119"/>
  <c r="N119"/>
  <c r="M119"/>
  <c r="L119"/>
  <c r="K119"/>
  <c r="J119"/>
  <c r="I119"/>
  <c r="H119"/>
  <c r="G119"/>
  <c r="F119"/>
  <c r="E119"/>
  <c r="P118"/>
  <c r="O118"/>
  <c r="N118"/>
  <c r="M118"/>
  <c r="L118"/>
  <c r="K118"/>
  <c r="J118"/>
  <c r="I118"/>
  <c r="H118"/>
  <c r="G118"/>
  <c r="F118"/>
  <c r="E118"/>
  <c r="P117"/>
  <c r="O117"/>
  <c r="N117"/>
  <c r="M117"/>
  <c r="L117"/>
  <c r="K117"/>
  <c r="J117"/>
  <c r="I117"/>
  <c r="H117"/>
  <c r="G117"/>
  <c r="F117"/>
  <c r="E117"/>
  <c r="P116"/>
  <c r="O116"/>
  <c r="N116"/>
  <c r="M116"/>
  <c r="L116"/>
  <c r="K116"/>
  <c r="J116"/>
  <c r="I116"/>
  <c r="H116"/>
  <c r="G116"/>
  <c r="F116"/>
  <c r="E116"/>
  <c r="P115"/>
  <c r="O115"/>
  <c r="N115"/>
  <c r="M115"/>
  <c r="L115"/>
  <c r="K115"/>
  <c r="J115"/>
  <c r="I115"/>
  <c r="H115"/>
  <c r="G115"/>
  <c r="F115"/>
  <c r="E115"/>
  <c r="P114"/>
  <c r="O114"/>
  <c r="N114"/>
  <c r="M114"/>
  <c r="L114"/>
  <c r="K114"/>
  <c r="J114"/>
  <c r="I114"/>
  <c r="H114"/>
  <c r="G114"/>
  <c r="F114"/>
  <c r="E114"/>
  <c r="P113"/>
  <c r="O113"/>
  <c r="N113"/>
  <c r="M113"/>
  <c r="L113"/>
  <c r="K113"/>
  <c r="J113"/>
  <c r="I113"/>
  <c r="H113"/>
  <c r="G113"/>
  <c r="F113"/>
  <c r="E113"/>
  <c r="P112"/>
  <c r="O112"/>
  <c r="N112"/>
  <c r="M112"/>
  <c r="L112"/>
  <c r="K112"/>
  <c r="J112"/>
  <c r="I112"/>
  <c r="H112"/>
  <c r="G112"/>
  <c r="F112"/>
  <c r="E112"/>
  <c r="P111"/>
  <c r="O111"/>
  <c r="N111"/>
  <c r="M111"/>
  <c r="L111"/>
  <c r="K111"/>
  <c r="J111"/>
  <c r="I111"/>
  <c r="H111"/>
  <c r="G111"/>
  <c r="F111"/>
  <c r="E111"/>
  <c r="P110"/>
  <c r="O110"/>
  <c r="N110"/>
  <c r="M110"/>
  <c r="L110"/>
  <c r="K110"/>
  <c r="J110"/>
  <c r="I110"/>
  <c r="H110"/>
  <c r="G110"/>
  <c r="F110"/>
  <c r="E110"/>
  <c r="P109"/>
  <c r="O109"/>
  <c r="N109"/>
  <c r="M109"/>
  <c r="L109"/>
  <c r="K109"/>
  <c r="J109"/>
  <c r="I109"/>
  <c r="H109"/>
  <c r="G109"/>
  <c r="F109"/>
  <c r="E109"/>
  <c r="P108"/>
  <c r="O108"/>
  <c r="N108"/>
  <c r="M108"/>
  <c r="L108"/>
  <c r="K108"/>
  <c r="J108"/>
  <c r="I108"/>
  <c r="H108"/>
  <c r="G108"/>
  <c r="F108"/>
  <c r="E108"/>
  <c r="P107"/>
  <c r="O107"/>
  <c r="N107"/>
  <c r="M107"/>
  <c r="L107"/>
  <c r="K107"/>
  <c r="J107"/>
  <c r="I107"/>
  <c r="H107"/>
  <c r="G107"/>
  <c r="F107"/>
  <c r="E107"/>
  <c r="P106"/>
  <c r="O106"/>
  <c r="N106"/>
  <c r="M106"/>
  <c r="L106"/>
  <c r="K106"/>
  <c r="J106"/>
  <c r="I106"/>
  <c r="H106"/>
  <c r="G106"/>
  <c r="F106"/>
  <c r="E106"/>
  <c r="P105"/>
  <c r="O105"/>
  <c r="N105"/>
  <c r="M105"/>
  <c r="L105"/>
  <c r="K105"/>
  <c r="J105"/>
  <c r="I105"/>
  <c r="H105"/>
  <c r="G105"/>
  <c r="F105"/>
  <c r="E105"/>
  <c r="P104"/>
  <c r="O104"/>
  <c r="N104"/>
  <c r="M104"/>
  <c r="L104"/>
  <c r="K104"/>
  <c r="J104"/>
  <c r="I104"/>
  <c r="H104"/>
  <c r="G104"/>
  <c r="F104"/>
  <c r="E104"/>
  <c r="P103"/>
  <c r="O103"/>
  <c r="N103"/>
  <c r="M103"/>
  <c r="L103"/>
  <c r="K103"/>
  <c r="J103"/>
  <c r="I103"/>
  <c r="H103"/>
  <c r="G103"/>
  <c r="F103"/>
  <c r="E103"/>
  <c r="P102"/>
  <c r="O102"/>
  <c r="N102"/>
  <c r="M102"/>
  <c r="L102"/>
  <c r="K102"/>
  <c r="J102"/>
  <c r="I102"/>
  <c r="H102"/>
  <c r="G102"/>
  <c r="F102"/>
  <c r="E102"/>
  <c r="T101"/>
  <c r="P101"/>
  <c r="O101"/>
  <c r="N101"/>
  <c r="M101"/>
  <c r="L101"/>
  <c r="K101"/>
  <c r="J101"/>
  <c r="I101"/>
  <c r="H101"/>
  <c r="G101"/>
  <c r="F101"/>
  <c r="E101"/>
  <c r="T100"/>
  <c r="P100"/>
  <c r="O100"/>
  <c r="N100"/>
  <c r="M100"/>
  <c r="L100"/>
  <c r="K100"/>
  <c r="J100"/>
  <c r="I100"/>
  <c r="H100"/>
  <c r="G100"/>
  <c r="F100"/>
  <c r="E100"/>
  <c r="T99"/>
  <c r="P99"/>
  <c r="O99"/>
  <c r="N99"/>
  <c r="M99"/>
  <c r="L99"/>
  <c r="K99"/>
  <c r="J99"/>
  <c r="I99"/>
  <c r="H99"/>
  <c r="G99"/>
  <c r="F99"/>
  <c r="E99"/>
  <c r="T98"/>
  <c r="P98"/>
  <c r="O98"/>
  <c r="N98"/>
  <c r="M98"/>
  <c r="L98"/>
  <c r="K98"/>
  <c r="J98"/>
  <c r="I98"/>
  <c r="H98"/>
  <c r="G98"/>
  <c r="F98"/>
  <c r="E98"/>
  <c r="T97"/>
  <c r="P97"/>
  <c r="O97"/>
  <c r="N97"/>
  <c r="M97"/>
  <c r="L97"/>
  <c r="K97"/>
  <c r="J97"/>
  <c r="I97"/>
  <c r="H97"/>
  <c r="G97"/>
  <c r="F97"/>
  <c r="E97"/>
  <c r="T96"/>
  <c r="P96"/>
  <c r="O96"/>
  <c r="N96"/>
  <c r="M96"/>
  <c r="L96"/>
  <c r="K96"/>
  <c r="J96"/>
  <c r="I96"/>
  <c r="H96"/>
  <c r="G96"/>
  <c r="F96"/>
  <c r="E96"/>
  <c r="P95"/>
  <c r="O95"/>
  <c r="N95"/>
  <c r="M95"/>
  <c r="L95"/>
  <c r="K95"/>
  <c r="J95"/>
  <c r="I95"/>
  <c r="H95"/>
  <c r="G95"/>
  <c r="F95"/>
  <c r="E95"/>
  <c r="P94"/>
  <c r="O94"/>
  <c r="N94"/>
  <c r="M94"/>
  <c r="L94"/>
  <c r="K94"/>
  <c r="J94"/>
  <c r="I94"/>
  <c r="H94"/>
  <c r="G94"/>
  <c r="F94"/>
  <c r="E94"/>
  <c r="P93"/>
  <c r="O93"/>
  <c r="N93"/>
  <c r="M93"/>
  <c r="L93"/>
  <c r="K93"/>
  <c r="J93"/>
  <c r="I93"/>
  <c r="H93"/>
  <c r="G93"/>
  <c r="F93"/>
  <c r="E93"/>
  <c r="P92"/>
  <c r="O92"/>
  <c r="N92"/>
  <c r="M92"/>
  <c r="L92"/>
  <c r="K92"/>
  <c r="J92"/>
  <c r="I92"/>
  <c r="H92"/>
  <c r="G92"/>
  <c r="F92"/>
  <c r="E92"/>
  <c r="P91"/>
  <c r="O91"/>
  <c r="N91"/>
  <c r="M91"/>
  <c r="L91"/>
  <c r="K91"/>
  <c r="J91"/>
  <c r="I91"/>
  <c r="H91"/>
  <c r="G91"/>
  <c r="F91"/>
  <c r="E91"/>
  <c r="P90"/>
  <c r="O90"/>
  <c r="N90"/>
  <c r="M90"/>
  <c r="L90"/>
  <c r="K90"/>
  <c r="J90"/>
  <c r="I90"/>
  <c r="H90"/>
  <c r="G90"/>
  <c r="F90"/>
  <c r="E90"/>
  <c r="P89"/>
  <c r="O89"/>
  <c r="N89"/>
  <c r="M89"/>
  <c r="L89"/>
  <c r="K89"/>
  <c r="J89"/>
  <c r="I89"/>
  <c r="H89"/>
  <c r="G89"/>
  <c r="F89"/>
  <c r="E89"/>
  <c r="B89"/>
  <c r="P88"/>
  <c r="O88"/>
  <c r="N88"/>
  <c r="M88"/>
  <c r="L88"/>
  <c r="K88"/>
  <c r="J88"/>
  <c r="I88"/>
  <c r="H88"/>
  <c r="G88"/>
  <c r="F88"/>
  <c r="E88"/>
  <c r="B88"/>
  <c r="B87"/>
  <c r="P80"/>
  <c r="O80"/>
  <c r="N80"/>
  <c r="M80"/>
  <c r="L80"/>
  <c r="K80"/>
  <c r="J80"/>
  <c r="I80"/>
  <c r="H80"/>
  <c r="G80"/>
  <c r="F80"/>
  <c r="E80"/>
  <c r="P79"/>
  <c r="O79"/>
  <c r="N79"/>
  <c r="M79"/>
  <c r="L79"/>
  <c r="K79"/>
  <c r="J79"/>
  <c r="I79"/>
  <c r="H79"/>
  <c r="G79"/>
  <c r="F79"/>
  <c r="E79"/>
  <c r="P78"/>
  <c r="O78"/>
  <c r="N78"/>
  <c r="M78"/>
  <c r="L78"/>
  <c r="K78"/>
  <c r="J78"/>
  <c r="I78"/>
  <c r="H78"/>
  <c r="G78"/>
  <c r="F78"/>
  <c r="E78"/>
  <c r="P77"/>
  <c r="O77"/>
  <c r="N77"/>
  <c r="M77"/>
  <c r="L77"/>
  <c r="K77"/>
  <c r="J77"/>
  <c r="I77"/>
  <c r="H77"/>
  <c r="G77"/>
  <c r="F77"/>
  <c r="E77"/>
  <c r="P76"/>
  <c r="O76"/>
  <c r="N76"/>
  <c r="M76"/>
  <c r="L76"/>
  <c r="K76"/>
  <c r="J76"/>
  <c r="I76"/>
  <c r="H76"/>
  <c r="G76"/>
  <c r="F76"/>
  <c r="E76"/>
  <c r="P75"/>
  <c r="O75"/>
  <c r="N75"/>
  <c r="M75"/>
  <c r="L75"/>
  <c r="K75"/>
  <c r="J75"/>
  <c r="I75"/>
  <c r="H75"/>
  <c r="G75"/>
  <c r="F75"/>
  <c r="E75"/>
  <c r="P74"/>
  <c r="O74"/>
  <c r="N74"/>
  <c r="M74"/>
  <c r="L74"/>
  <c r="K74"/>
  <c r="J74"/>
  <c r="I74"/>
  <c r="H74"/>
  <c r="G74"/>
  <c r="F74"/>
  <c r="E74"/>
  <c r="P73"/>
  <c r="O73"/>
  <c r="N73"/>
  <c r="M73"/>
  <c r="L73"/>
  <c r="K73"/>
  <c r="J73"/>
  <c r="I73"/>
  <c r="H73"/>
  <c r="G73"/>
  <c r="F73"/>
  <c r="E73"/>
  <c r="P72"/>
  <c r="O72"/>
  <c r="N72"/>
  <c r="M72"/>
  <c r="L72"/>
  <c r="K72"/>
  <c r="J72"/>
  <c r="I72"/>
  <c r="H72"/>
  <c r="G72"/>
  <c r="F72"/>
  <c r="E72"/>
  <c r="P71"/>
  <c r="O71"/>
  <c r="N71"/>
  <c r="M71"/>
  <c r="L71"/>
  <c r="K71"/>
  <c r="J71"/>
  <c r="I71"/>
  <c r="H71"/>
  <c r="G71"/>
  <c r="F71"/>
  <c r="E71"/>
  <c r="P70"/>
  <c r="O70"/>
  <c r="N70"/>
  <c r="M70"/>
  <c r="L70"/>
  <c r="K70"/>
  <c r="J70"/>
  <c r="I70"/>
  <c r="H70"/>
  <c r="G70"/>
  <c r="F70"/>
  <c r="E70"/>
  <c r="P69"/>
  <c r="O69"/>
  <c r="N69"/>
  <c r="M69"/>
  <c r="L69"/>
  <c r="K69"/>
  <c r="J69"/>
  <c r="I69"/>
  <c r="H69"/>
  <c r="G69"/>
  <c r="F69"/>
  <c r="E69"/>
  <c r="P68"/>
  <c r="O68"/>
  <c r="N68"/>
  <c r="M68"/>
  <c r="L68"/>
  <c r="K68"/>
  <c r="J68"/>
  <c r="I68"/>
  <c r="H68"/>
  <c r="G68"/>
  <c r="F68"/>
  <c r="E68"/>
  <c r="P67"/>
  <c r="O67"/>
  <c r="N67"/>
  <c r="M67"/>
  <c r="L67"/>
  <c r="K67"/>
  <c r="J67"/>
  <c r="I67"/>
  <c r="H67"/>
  <c r="G67"/>
  <c r="F67"/>
  <c r="E67"/>
  <c r="P66"/>
  <c r="O66"/>
  <c r="N66"/>
  <c r="M66"/>
  <c r="L66"/>
  <c r="K66"/>
  <c r="J66"/>
  <c r="I66"/>
  <c r="H66"/>
  <c r="G66"/>
  <c r="F66"/>
  <c r="E66"/>
  <c r="T65"/>
  <c r="P65"/>
  <c r="O65"/>
  <c r="N65"/>
  <c r="M65"/>
  <c r="L65"/>
  <c r="K65"/>
  <c r="J65"/>
  <c r="I65"/>
  <c r="H65"/>
  <c r="G65"/>
  <c r="F65"/>
  <c r="E65"/>
  <c r="T64"/>
  <c r="P64"/>
  <c r="O64"/>
  <c r="N64"/>
  <c r="M64"/>
  <c r="L64"/>
  <c r="K64"/>
  <c r="J64"/>
  <c r="I64"/>
  <c r="H64"/>
  <c r="G64"/>
  <c r="F64"/>
  <c r="E64"/>
  <c r="T63"/>
  <c r="P63"/>
  <c r="O63"/>
  <c r="N63"/>
  <c r="M63"/>
  <c r="L63"/>
  <c r="K63"/>
  <c r="J63"/>
  <c r="I63"/>
  <c r="H63"/>
  <c r="G63"/>
  <c r="F63"/>
  <c r="E63"/>
  <c r="T62"/>
  <c r="P62"/>
  <c r="O62"/>
  <c r="N62"/>
  <c r="M62"/>
  <c r="L62"/>
  <c r="K62"/>
  <c r="J62"/>
  <c r="I62"/>
  <c r="H62"/>
  <c r="G62"/>
  <c r="F62"/>
  <c r="E62"/>
  <c r="T61"/>
  <c r="P61"/>
  <c r="O61"/>
  <c r="N61"/>
  <c r="M61"/>
  <c r="L61"/>
  <c r="K61"/>
  <c r="J61"/>
  <c r="I61"/>
  <c r="H61"/>
  <c r="G61"/>
  <c r="F61"/>
  <c r="E61"/>
  <c r="T60"/>
  <c r="P60"/>
  <c r="O60"/>
  <c r="N60"/>
  <c r="M60"/>
  <c r="L60"/>
  <c r="K60"/>
  <c r="J60"/>
  <c r="I60"/>
  <c r="H60"/>
  <c r="G60"/>
  <c r="F60"/>
  <c r="E60"/>
  <c r="P59"/>
  <c r="O59"/>
  <c r="N59"/>
  <c r="M59"/>
  <c r="L59"/>
  <c r="K59"/>
  <c r="J59"/>
  <c r="I59"/>
  <c r="H59"/>
  <c r="G59"/>
  <c r="F59"/>
  <c r="E59"/>
  <c r="P58"/>
  <c r="O58"/>
  <c r="N58"/>
  <c r="M58"/>
  <c r="L58"/>
  <c r="K58"/>
  <c r="J58"/>
  <c r="I58"/>
  <c r="H58"/>
  <c r="G58"/>
  <c r="F58"/>
  <c r="E58"/>
  <c r="P57"/>
  <c r="O57"/>
  <c r="N57"/>
  <c r="M57"/>
  <c r="L57"/>
  <c r="K57"/>
  <c r="J57"/>
  <c r="I57"/>
  <c r="H57"/>
  <c r="G57"/>
  <c r="F57"/>
  <c r="E57"/>
  <c r="P56"/>
  <c r="O56"/>
  <c r="N56"/>
  <c r="M56"/>
  <c r="L56"/>
  <c r="K56"/>
  <c r="J56"/>
  <c r="I56"/>
  <c r="H56"/>
  <c r="G56"/>
  <c r="F56"/>
  <c r="E56"/>
  <c r="P55"/>
  <c r="O55"/>
  <c r="N55"/>
  <c r="M55"/>
  <c r="L55"/>
  <c r="K55"/>
  <c r="J55"/>
  <c r="I55"/>
  <c r="H55"/>
  <c r="G55"/>
  <c r="F55"/>
  <c r="E55"/>
  <c r="P54"/>
  <c r="O54"/>
  <c r="N54"/>
  <c r="M54"/>
  <c r="L54"/>
  <c r="K54"/>
  <c r="J54"/>
  <c r="I54"/>
  <c r="H54"/>
  <c r="G54"/>
  <c r="F54"/>
  <c r="E54"/>
  <c r="P53"/>
  <c r="O53"/>
  <c r="N53"/>
  <c r="M53"/>
  <c r="L53"/>
  <c r="K53"/>
  <c r="J53"/>
  <c r="I53"/>
  <c r="H53"/>
  <c r="G53"/>
  <c r="F53"/>
  <c r="E53"/>
  <c r="P52"/>
  <c r="O52"/>
  <c r="N52"/>
  <c r="M52"/>
  <c r="L52"/>
  <c r="K52"/>
  <c r="J52"/>
  <c r="I52"/>
  <c r="H52"/>
  <c r="G52"/>
  <c r="F52"/>
  <c r="E52"/>
  <c r="P51"/>
  <c r="O51"/>
  <c r="N51"/>
  <c r="M51"/>
  <c r="L51"/>
  <c r="K51"/>
  <c r="J51"/>
  <c r="I51"/>
  <c r="H51"/>
  <c r="G51"/>
  <c r="F51"/>
  <c r="E51"/>
  <c r="P50"/>
  <c r="O50"/>
  <c r="N50"/>
  <c r="M50"/>
  <c r="L50"/>
  <c r="K50"/>
  <c r="J50"/>
  <c r="I50"/>
  <c r="H50"/>
  <c r="G50"/>
  <c r="F50"/>
  <c r="E50"/>
  <c r="P49"/>
  <c r="O49"/>
  <c r="N49"/>
  <c r="M49"/>
  <c r="L49"/>
  <c r="K49"/>
  <c r="J49"/>
  <c r="I49"/>
  <c r="H49"/>
  <c r="G49"/>
  <c r="F49"/>
  <c r="E49"/>
  <c r="B49"/>
  <c r="P48"/>
  <c r="O48"/>
  <c r="N48"/>
  <c r="M48"/>
  <c r="L48"/>
  <c r="K48"/>
  <c r="J48"/>
  <c r="I48"/>
  <c r="H48"/>
  <c r="G48"/>
  <c r="F48"/>
  <c r="E48"/>
  <c r="B48"/>
  <c r="B47"/>
  <c r="F37"/>
  <c r="Z36"/>
  <c r="Y36"/>
  <c r="W36"/>
  <c r="V36"/>
  <c r="U36"/>
  <c r="T36"/>
  <c r="S36"/>
  <c r="R36"/>
  <c r="Q36"/>
  <c r="P36"/>
  <c r="N36"/>
  <c r="M36"/>
  <c r="K36"/>
  <c r="J36"/>
  <c r="H36"/>
  <c r="G36"/>
  <c r="F36"/>
  <c r="F31"/>
  <c r="Z30"/>
  <c r="Y30"/>
  <c r="W30"/>
  <c r="V30"/>
  <c r="U30"/>
  <c r="T30"/>
  <c r="S30"/>
  <c r="R30"/>
  <c r="Q30"/>
  <c r="P30"/>
  <c r="N30"/>
  <c r="M30"/>
  <c r="K30"/>
  <c r="J30"/>
  <c r="H30"/>
  <c r="G30"/>
  <c r="F30"/>
  <c r="F25"/>
  <c r="Z24"/>
  <c r="Y24"/>
  <c r="W24"/>
  <c r="V24"/>
  <c r="U24"/>
  <c r="T24"/>
  <c r="S24"/>
  <c r="R24"/>
  <c r="Q24"/>
  <c r="P24"/>
  <c r="N24"/>
  <c r="M24"/>
  <c r="K24"/>
  <c r="J24"/>
  <c r="H24"/>
  <c r="G24"/>
  <c r="F24"/>
  <c r="Q21"/>
  <c r="J11"/>
  <c r="H11"/>
  <c r="G11"/>
  <c r="J10"/>
  <c r="H10"/>
  <c r="G10"/>
  <c r="J9"/>
  <c r="H9"/>
  <c r="G9"/>
  <c r="P189" i="16"/>
  <c r="O189"/>
  <c r="N189"/>
  <c r="M189"/>
  <c r="L189"/>
  <c r="K189"/>
  <c r="J189"/>
  <c r="I189"/>
  <c r="H189"/>
  <c r="G189"/>
  <c r="F189"/>
  <c r="D189"/>
  <c r="P188"/>
  <c r="O188"/>
  <c r="N188"/>
  <c r="M188"/>
  <c r="L188"/>
  <c r="K188"/>
  <c r="J188"/>
  <c r="I188"/>
  <c r="H188"/>
  <c r="G188"/>
  <c r="F188"/>
  <c r="D188"/>
  <c r="P187"/>
  <c r="O187"/>
  <c r="N187"/>
  <c r="M187"/>
  <c r="L187"/>
  <c r="K187"/>
  <c r="J187"/>
  <c r="I187"/>
  <c r="H187"/>
  <c r="G187"/>
  <c r="F187"/>
  <c r="D187"/>
  <c r="P186"/>
  <c r="O186"/>
  <c r="N186"/>
  <c r="M186"/>
  <c r="L186"/>
  <c r="K186"/>
  <c r="J186"/>
  <c r="I186"/>
  <c r="H186"/>
  <c r="G186"/>
  <c r="F186"/>
  <c r="D186"/>
  <c r="P185"/>
  <c r="O185"/>
  <c r="N185"/>
  <c r="M185"/>
  <c r="L185"/>
  <c r="K185"/>
  <c r="J185"/>
  <c r="I185"/>
  <c r="H185"/>
  <c r="G185"/>
  <c r="F185"/>
  <c r="D185"/>
  <c r="P184"/>
  <c r="O184"/>
  <c r="N184"/>
  <c r="M184"/>
  <c r="L184"/>
  <c r="K184"/>
  <c r="J184"/>
  <c r="I184"/>
  <c r="H184"/>
  <c r="G184"/>
  <c r="F184"/>
  <c r="D184"/>
  <c r="P183"/>
  <c r="O183"/>
  <c r="N183"/>
  <c r="M183"/>
  <c r="L183"/>
  <c r="K183"/>
  <c r="J183"/>
  <c r="I183"/>
  <c r="H183"/>
  <c r="G183"/>
  <c r="F183"/>
  <c r="D183"/>
  <c r="P182"/>
  <c r="O182"/>
  <c r="N182"/>
  <c r="M182"/>
  <c r="L182"/>
  <c r="K182"/>
  <c r="J182"/>
  <c r="I182"/>
  <c r="H182"/>
  <c r="G182"/>
  <c r="F182"/>
  <c r="D182"/>
  <c r="P181"/>
  <c r="O181"/>
  <c r="N181"/>
  <c r="M181"/>
  <c r="L181"/>
  <c r="K181"/>
  <c r="J181"/>
  <c r="I181"/>
  <c r="H181"/>
  <c r="G181"/>
  <c r="F181"/>
  <c r="D181"/>
  <c r="P180"/>
  <c r="O180"/>
  <c r="N180"/>
  <c r="M180"/>
  <c r="L180"/>
  <c r="K180"/>
  <c r="J180"/>
  <c r="I180"/>
  <c r="H180"/>
  <c r="G180"/>
  <c r="F180"/>
  <c r="D180"/>
  <c r="P179"/>
  <c r="O179"/>
  <c r="N179"/>
  <c r="M179"/>
  <c r="L179"/>
  <c r="K179"/>
  <c r="J179"/>
  <c r="I179"/>
  <c r="H179"/>
  <c r="G179"/>
  <c r="F179"/>
  <c r="D179"/>
  <c r="P178"/>
  <c r="O178"/>
  <c r="N178"/>
  <c r="M178"/>
  <c r="L178"/>
  <c r="K178"/>
  <c r="J178"/>
  <c r="I178"/>
  <c r="H178"/>
  <c r="G178"/>
  <c r="F178"/>
  <c r="D178"/>
  <c r="P177"/>
  <c r="O177"/>
  <c r="N177"/>
  <c r="M177"/>
  <c r="L177"/>
  <c r="K177"/>
  <c r="J177"/>
  <c r="I177"/>
  <c r="H177"/>
  <c r="G177"/>
  <c r="F177"/>
  <c r="D177"/>
  <c r="P176"/>
  <c r="O176"/>
  <c r="N176"/>
  <c r="M176"/>
  <c r="L176"/>
  <c r="K176"/>
  <c r="J176"/>
  <c r="I176"/>
  <c r="H176"/>
  <c r="G176"/>
  <c r="F176"/>
  <c r="D176"/>
  <c r="P175"/>
  <c r="O175"/>
  <c r="N175"/>
  <c r="M175"/>
  <c r="L175"/>
  <c r="K175"/>
  <c r="J175"/>
  <c r="I175"/>
  <c r="H175"/>
  <c r="G175"/>
  <c r="F175"/>
  <c r="D175"/>
  <c r="P174"/>
  <c r="O174"/>
  <c r="N174"/>
  <c r="M174"/>
  <c r="L174"/>
  <c r="K174"/>
  <c r="J174"/>
  <c r="I174"/>
  <c r="H174"/>
  <c r="G174"/>
  <c r="F174"/>
  <c r="D174"/>
  <c r="P173"/>
  <c r="O173"/>
  <c r="N173"/>
  <c r="M173"/>
  <c r="L173"/>
  <c r="K173"/>
  <c r="J173"/>
  <c r="I173"/>
  <c r="H173"/>
  <c r="G173"/>
  <c r="F173"/>
  <c r="D173"/>
  <c r="P172"/>
  <c r="O172"/>
  <c r="N172"/>
  <c r="M172"/>
  <c r="L172"/>
  <c r="K172"/>
  <c r="J172"/>
  <c r="I172"/>
  <c r="H172"/>
  <c r="G172"/>
  <c r="F172"/>
  <c r="D172"/>
  <c r="P171"/>
  <c r="O171"/>
  <c r="N171"/>
  <c r="M171"/>
  <c r="L171"/>
  <c r="K171"/>
  <c r="J171"/>
  <c r="I171"/>
  <c r="H171"/>
  <c r="G171"/>
  <c r="F171"/>
  <c r="D171"/>
  <c r="P170"/>
  <c r="O170"/>
  <c r="N170"/>
  <c r="M170"/>
  <c r="L170"/>
  <c r="K170"/>
  <c r="J170"/>
  <c r="I170"/>
  <c r="H170"/>
  <c r="G170"/>
  <c r="F170"/>
  <c r="D170"/>
  <c r="P169"/>
  <c r="O169"/>
  <c r="N169"/>
  <c r="M169"/>
  <c r="L169"/>
  <c r="K169"/>
  <c r="J169"/>
  <c r="I169"/>
  <c r="H169"/>
  <c r="G169"/>
  <c r="F169"/>
  <c r="D169"/>
  <c r="P168"/>
  <c r="O168"/>
  <c r="N168"/>
  <c r="M168"/>
  <c r="L168"/>
  <c r="K168"/>
  <c r="J168"/>
  <c r="I168"/>
  <c r="H168"/>
  <c r="G168"/>
  <c r="F168"/>
  <c r="D168"/>
  <c r="P167"/>
  <c r="O167"/>
  <c r="N167"/>
  <c r="M167"/>
  <c r="L167"/>
  <c r="K167"/>
  <c r="J167"/>
  <c r="I167"/>
  <c r="H167"/>
  <c r="G167"/>
  <c r="F167"/>
  <c r="D167"/>
  <c r="P166"/>
  <c r="O166"/>
  <c r="N166"/>
  <c r="M166"/>
  <c r="L166"/>
  <c r="K166"/>
  <c r="J166"/>
  <c r="I166"/>
  <c r="H166"/>
  <c r="G166"/>
  <c r="F166"/>
  <c r="D166"/>
  <c r="P165"/>
  <c r="O165"/>
  <c r="N165"/>
  <c r="M165"/>
  <c r="L165"/>
  <c r="K165"/>
  <c r="J165"/>
  <c r="I165"/>
  <c r="H165"/>
  <c r="G165"/>
  <c r="F165"/>
  <c r="D165"/>
  <c r="P164"/>
  <c r="O164"/>
  <c r="N164"/>
  <c r="M164"/>
  <c r="L164"/>
  <c r="K164"/>
  <c r="J164"/>
  <c r="I164"/>
  <c r="H164"/>
  <c r="G164"/>
  <c r="F164"/>
  <c r="D164"/>
  <c r="P163"/>
  <c r="O163"/>
  <c r="N163"/>
  <c r="M163"/>
  <c r="L163"/>
  <c r="K163"/>
  <c r="J163"/>
  <c r="I163"/>
  <c r="H163"/>
  <c r="G163"/>
  <c r="F163"/>
  <c r="D163"/>
  <c r="P162"/>
  <c r="O162"/>
  <c r="N162"/>
  <c r="M162"/>
  <c r="L162"/>
  <c r="K162"/>
  <c r="J162"/>
  <c r="I162"/>
  <c r="H162"/>
  <c r="G162"/>
  <c r="F162"/>
  <c r="D162"/>
  <c r="P161"/>
  <c r="O161"/>
  <c r="N161"/>
  <c r="M161"/>
  <c r="L161"/>
  <c r="K161"/>
  <c r="J161"/>
  <c r="I161"/>
  <c r="H161"/>
  <c r="G161"/>
  <c r="F161"/>
  <c r="D161"/>
  <c r="P160"/>
  <c r="O160"/>
  <c r="N160"/>
  <c r="M160"/>
  <c r="L160"/>
  <c r="K160"/>
  <c r="J160"/>
  <c r="I160"/>
  <c r="H160"/>
  <c r="G160"/>
  <c r="F160"/>
  <c r="D160"/>
  <c r="P159"/>
  <c r="O159"/>
  <c r="N159"/>
  <c r="M159"/>
  <c r="L159"/>
  <c r="K159"/>
  <c r="J159"/>
  <c r="I159"/>
  <c r="H159"/>
  <c r="G159"/>
  <c r="F159"/>
  <c r="D159"/>
  <c r="P158"/>
  <c r="O158"/>
  <c r="N158"/>
  <c r="M158"/>
  <c r="L158"/>
  <c r="K158"/>
  <c r="J158"/>
  <c r="I158"/>
  <c r="H158"/>
  <c r="G158"/>
  <c r="F158"/>
  <c r="D158"/>
  <c r="P157"/>
  <c r="O157"/>
  <c r="N157"/>
  <c r="M157"/>
  <c r="L157"/>
  <c r="K157"/>
  <c r="J157"/>
  <c r="I157"/>
  <c r="H157"/>
  <c r="G157"/>
  <c r="F157"/>
  <c r="D157"/>
  <c r="P156"/>
  <c r="O156"/>
  <c r="N156"/>
  <c r="M156"/>
  <c r="L156"/>
  <c r="K156"/>
  <c r="J156"/>
  <c r="I156"/>
  <c r="H156"/>
  <c r="G156"/>
  <c r="F156"/>
  <c r="D156"/>
  <c r="P155"/>
  <c r="O155"/>
  <c r="N155"/>
  <c r="M155"/>
  <c r="L155"/>
  <c r="K155"/>
  <c r="J155"/>
  <c r="I155"/>
  <c r="H155"/>
  <c r="G155"/>
  <c r="F155"/>
  <c r="D155"/>
  <c r="P154"/>
  <c r="O154"/>
  <c r="N154"/>
  <c r="M154"/>
  <c r="L154"/>
  <c r="K154"/>
  <c r="J154"/>
  <c r="I154"/>
  <c r="H154"/>
  <c r="G154"/>
  <c r="F154"/>
  <c r="D154"/>
  <c r="P153"/>
  <c r="O153"/>
  <c r="N153"/>
  <c r="M153"/>
  <c r="L153"/>
  <c r="K153"/>
  <c r="J153"/>
  <c r="I153"/>
  <c r="H153"/>
  <c r="G153"/>
  <c r="F153"/>
  <c r="D153"/>
  <c r="P152"/>
  <c r="O152"/>
  <c r="N152"/>
  <c r="M152"/>
  <c r="L152"/>
  <c r="K152"/>
  <c r="J152"/>
  <c r="I152"/>
  <c r="H152"/>
  <c r="G152"/>
  <c r="F152"/>
  <c r="D152"/>
  <c r="P151"/>
  <c r="O151"/>
  <c r="N151"/>
  <c r="M151"/>
  <c r="L151"/>
  <c r="K151"/>
  <c r="J151"/>
  <c r="I151"/>
  <c r="H151"/>
  <c r="G151"/>
  <c r="F151"/>
  <c r="D151"/>
  <c r="P150"/>
  <c r="O150"/>
  <c r="N150"/>
  <c r="M150"/>
  <c r="L150"/>
  <c r="K150"/>
  <c r="J150"/>
  <c r="I150"/>
  <c r="H150"/>
  <c r="G150"/>
  <c r="F150"/>
  <c r="D150"/>
  <c r="P149"/>
  <c r="O149"/>
  <c r="N149"/>
  <c r="M149"/>
  <c r="L149"/>
  <c r="K149"/>
  <c r="J149"/>
  <c r="I149"/>
  <c r="H149"/>
  <c r="G149"/>
  <c r="F149"/>
  <c r="D149"/>
  <c r="P148"/>
  <c r="O148"/>
  <c r="N148"/>
  <c r="M148"/>
  <c r="L148"/>
  <c r="K148"/>
  <c r="J148"/>
  <c r="I148"/>
  <c r="H148"/>
  <c r="G148"/>
  <c r="F148"/>
  <c r="D148"/>
  <c r="P147"/>
  <c r="O147"/>
  <c r="N147"/>
  <c r="M147"/>
  <c r="L147"/>
  <c r="K147"/>
  <c r="J147"/>
  <c r="I147"/>
  <c r="H147"/>
  <c r="G147"/>
  <c r="F147"/>
  <c r="D147"/>
  <c r="P146"/>
  <c r="O146"/>
  <c r="N146"/>
  <c r="M146"/>
  <c r="L146"/>
  <c r="K146"/>
  <c r="J146"/>
  <c r="I146"/>
  <c r="H146"/>
  <c r="G146"/>
  <c r="F146"/>
  <c r="D146"/>
  <c r="P145"/>
  <c r="O145"/>
  <c r="N145"/>
  <c r="M145"/>
  <c r="L145"/>
  <c r="K145"/>
  <c r="J145"/>
  <c r="I145"/>
  <c r="H145"/>
  <c r="G145"/>
  <c r="F145"/>
  <c r="D145"/>
  <c r="P144"/>
  <c r="O144"/>
  <c r="N144"/>
  <c r="M144"/>
  <c r="L144"/>
  <c r="K144"/>
  <c r="J144"/>
  <c r="I144"/>
  <c r="H144"/>
  <c r="G144"/>
  <c r="F144"/>
  <c r="D144"/>
  <c r="P143"/>
  <c r="O143"/>
  <c r="N143"/>
  <c r="M143"/>
  <c r="L143"/>
  <c r="K143"/>
  <c r="J143"/>
  <c r="I143"/>
  <c r="H143"/>
  <c r="G143"/>
  <c r="F143"/>
  <c r="D143"/>
  <c r="P142"/>
  <c r="O142"/>
  <c r="N142"/>
  <c r="M142"/>
  <c r="L142"/>
  <c r="K142"/>
  <c r="J142"/>
  <c r="I142"/>
  <c r="H142"/>
  <c r="G142"/>
  <c r="F142"/>
  <c r="D142"/>
  <c r="P141"/>
  <c r="O141"/>
  <c r="N141"/>
  <c r="M141"/>
  <c r="L141"/>
  <c r="K141"/>
  <c r="J141"/>
  <c r="I141"/>
  <c r="H141"/>
  <c r="G141"/>
  <c r="F141"/>
  <c r="D141"/>
  <c r="P140"/>
  <c r="O140"/>
  <c r="N140"/>
  <c r="M140"/>
  <c r="L140"/>
  <c r="K140"/>
  <c r="J140"/>
  <c r="I140"/>
  <c r="H140"/>
  <c r="G140"/>
  <c r="F140"/>
  <c r="D140"/>
  <c r="P139"/>
  <c r="O139"/>
  <c r="N139"/>
  <c r="M139"/>
  <c r="L139"/>
  <c r="K139"/>
  <c r="J139"/>
  <c r="I139"/>
  <c r="H139"/>
  <c r="G139"/>
  <c r="F139"/>
  <c r="D139"/>
  <c r="P138"/>
  <c r="O138"/>
  <c r="N138"/>
  <c r="M138"/>
  <c r="L138"/>
  <c r="K138"/>
  <c r="J138"/>
  <c r="I138"/>
  <c r="H138"/>
  <c r="G138"/>
  <c r="F138"/>
  <c r="D138"/>
  <c r="P137"/>
  <c r="O137"/>
  <c r="N137"/>
  <c r="M137"/>
  <c r="L137"/>
  <c r="K137"/>
  <c r="J137"/>
  <c r="I137"/>
  <c r="H137"/>
  <c r="G137"/>
  <c r="F137"/>
  <c r="D137"/>
  <c r="P136"/>
  <c r="O136"/>
  <c r="N136"/>
  <c r="M136"/>
  <c r="L136"/>
  <c r="K136"/>
  <c r="J136"/>
  <c r="I136"/>
  <c r="H136"/>
  <c r="G136"/>
  <c r="F136"/>
  <c r="D136"/>
  <c r="P135"/>
  <c r="O135"/>
  <c r="N135"/>
  <c r="M135"/>
  <c r="L135"/>
  <c r="K135"/>
  <c r="J135"/>
  <c r="I135"/>
  <c r="H135"/>
  <c r="G135"/>
  <c r="F135"/>
  <c r="D135"/>
  <c r="P134"/>
  <c r="O134"/>
  <c r="N134"/>
  <c r="M134"/>
  <c r="L134"/>
  <c r="K134"/>
  <c r="J134"/>
  <c r="I134"/>
  <c r="H134"/>
  <c r="G134"/>
  <c r="F134"/>
  <c r="D134"/>
  <c r="P133"/>
  <c r="O133"/>
  <c r="N133"/>
  <c r="M133"/>
  <c r="L133"/>
  <c r="K133"/>
  <c r="J133"/>
  <c r="I133"/>
  <c r="H133"/>
  <c r="G133"/>
  <c r="F133"/>
  <c r="D133"/>
  <c r="P132"/>
  <c r="O132"/>
  <c r="N132"/>
  <c r="M132"/>
  <c r="L132"/>
  <c r="K132"/>
  <c r="J132"/>
  <c r="I132"/>
  <c r="H132"/>
  <c r="G132"/>
  <c r="F132"/>
  <c r="D132"/>
  <c r="P131"/>
  <c r="O131"/>
  <c r="N131"/>
  <c r="M131"/>
  <c r="L131"/>
  <c r="K131"/>
  <c r="J131"/>
  <c r="I131"/>
  <c r="H131"/>
  <c r="G131"/>
  <c r="F131"/>
  <c r="D131"/>
  <c r="P130"/>
  <c r="O130"/>
  <c r="N130"/>
  <c r="M130"/>
  <c r="L130"/>
  <c r="K130"/>
  <c r="J130"/>
  <c r="I130"/>
  <c r="H130"/>
  <c r="G130"/>
  <c r="F130"/>
  <c r="D130"/>
  <c r="P129"/>
  <c r="O129"/>
  <c r="N129"/>
  <c r="M129"/>
  <c r="L129"/>
  <c r="K129"/>
  <c r="J129"/>
  <c r="I129"/>
  <c r="H129"/>
  <c r="G129"/>
  <c r="F129"/>
  <c r="D129"/>
  <c r="P128"/>
  <c r="O128"/>
  <c r="N128"/>
  <c r="M128"/>
  <c r="L128"/>
  <c r="K128"/>
  <c r="J128"/>
  <c r="I128"/>
  <c r="H128"/>
  <c r="G128"/>
  <c r="F128"/>
  <c r="D128"/>
  <c r="P127"/>
  <c r="O127"/>
  <c r="N127"/>
  <c r="M127"/>
  <c r="L127"/>
  <c r="K127"/>
  <c r="J127"/>
  <c r="I127"/>
  <c r="H127"/>
  <c r="G127"/>
  <c r="F127"/>
  <c r="D127"/>
  <c r="P126"/>
  <c r="O126"/>
  <c r="N126"/>
  <c r="M126"/>
  <c r="L126"/>
  <c r="K126"/>
  <c r="J126"/>
  <c r="I126"/>
  <c r="H126"/>
  <c r="G126"/>
  <c r="F126"/>
  <c r="D126"/>
  <c r="P125"/>
  <c r="O125"/>
  <c r="N125"/>
  <c r="M125"/>
  <c r="L125"/>
  <c r="K125"/>
  <c r="J125"/>
  <c r="I125"/>
  <c r="H125"/>
  <c r="G125"/>
  <c r="F125"/>
  <c r="D125"/>
  <c r="P124"/>
  <c r="O124"/>
  <c r="N124"/>
  <c r="M124"/>
  <c r="L124"/>
  <c r="K124"/>
  <c r="J124"/>
  <c r="I124"/>
  <c r="H124"/>
  <c r="G124"/>
  <c r="F124"/>
  <c r="D124"/>
  <c r="P123"/>
  <c r="O123"/>
  <c r="N123"/>
  <c r="M123"/>
  <c r="L123"/>
  <c r="K123"/>
  <c r="J123"/>
  <c r="I123"/>
  <c r="H123"/>
  <c r="G123"/>
  <c r="F123"/>
  <c r="D123"/>
  <c r="P122"/>
  <c r="O122"/>
  <c r="N122"/>
  <c r="M122"/>
  <c r="L122"/>
  <c r="K122"/>
  <c r="J122"/>
  <c r="I122"/>
  <c r="H122"/>
  <c r="G122"/>
  <c r="F122"/>
  <c r="D122"/>
  <c r="P121"/>
  <c r="O121"/>
  <c r="N121"/>
  <c r="M121"/>
  <c r="L121"/>
  <c r="K121"/>
  <c r="J121"/>
  <c r="I121"/>
  <c r="H121"/>
  <c r="G121"/>
  <c r="F121"/>
  <c r="D121"/>
  <c r="P120"/>
  <c r="O120"/>
  <c r="N120"/>
  <c r="M120"/>
  <c r="L120"/>
  <c r="K120"/>
  <c r="J120"/>
  <c r="I120"/>
  <c r="H120"/>
  <c r="G120"/>
  <c r="F120"/>
  <c r="D120"/>
  <c r="P119"/>
  <c r="O119"/>
  <c r="N119"/>
  <c r="M119"/>
  <c r="L119"/>
  <c r="K119"/>
  <c r="J119"/>
  <c r="I119"/>
  <c r="H119"/>
  <c r="G119"/>
  <c r="F119"/>
  <c r="D119"/>
  <c r="P118"/>
  <c r="O118"/>
  <c r="N118"/>
  <c r="M118"/>
  <c r="L118"/>
  <c r="K118"/>
  <c r="J118"/>
  <c r="I118"/>
  <c r="H118"/>
  <c r="G118"/>
  <c r="F118"/>
  <c r="D118"/>
  <c r="P117"/>
  <c r="O117"/>
  <c r="N117"/>
  <c r="M117"/>
  <c r="L117"/>
  <c r="K117"/>
  <c r="J117"/>
  <c r="I117"/>
  <c r="H117"/>
  <c r="G117"/>
  <c r="F117"/>
  <c r="D117"/>
  <c r="P116"/>
  <c r="O116"/>
  <c r="N116"/>
  <c r="M116"/>
  <c r="L116"/>
  <c r="K116"/>
  <c r="J116"/>
  <c r="I116"/>
  <c r="H116"/>
  <c r="G116"/>
  <c r="F116"/>
  <c r="D116"/>
  <c r="P115"/>
  <c r="O115"/>
  <c r="N115"/>
  <c r="M115"/>
  <c r="L115"/>
  <c r="K115"/>
  <c r="J115"/>
  <c r="I115"/>
  <c r="H115"/>
  <c r="G115"/>
  <c r="F115"/>
  <c r="D115"/>
  <c r="P114"/>
  <c r="O114"/>
  <c r="N114"/>
  <c r="M114"/>
  <c r="L114"/>
  <c r="K114"/>
  <c r="J114"/>
  <c r="I114"/>
  <c r="H114"/>
  <c r="G114"/>
  <c r="F114"/>
  <c r="D114"/>
  <c r="P113"/>
  <c r="O113"/>
  <c r="N113"/>
  <c r="M113"/>
  <c r="L113"/>
  <c r="K113"/>
  <c r="J113"/>
  <c r="I113"/>
  <c r="H113"/>
  <c r="G113"/>
  <c r="F113"/>
  <c r="D113"/>
  <c r="P112"/>
  <c r="O112"/>
  <c r="N112"/>
  <c r="M112"/>
  <c r="L112"/>
  <c r="K112"/>
  <c r="J112"/>
  <c r="I112"/>
  <c r="H112"/>
  <c r="G112"/>
  <c r="F112"/>
  <c r="D112"/>
  <c r="P111"/>
  <c r="O111"/>
  <c r="N111"/>
  <c r="M111"/>
  <c r="L111"/>
  <c r="K111"/>
  <c r="J111"/>
  <c r="I111"/>
  <c r="H111"/>
  <c r="G111"/>
  <c r="F111"/>
  <c r="D111"/>
  <c r="P110"/>
  <c r="O110"/>
  <c r="N110"/>
  <c r="M110"/>
  <c r="L110"/>
  <c r="K110"/>
  <c r="J110"/>
  <c r="I110"/>
  <c r="H110"/>
  <c r="G110"/>
  <c r="F110"/>
  <c r="D110"/>
  <c r="P109"/>
  <c r="O109"/>
  <c r="N109"/>
  <c r="M109"/>
  <c r="L109"/>
  <c r="K109"/>
  <c r="J109"/>
  <c r="I109"/>
  <c r="H109"/>
  <c r="G109"/>
  <c r="F109"/>
  <c r="D109"/>
  <c r="P108"/>
  <c r="O108"/>
  <c r="N108"/>
  <c r="M108"/>
  <c r="L108"/>
  <c r="K108"/>
  <c r="J108"/>
  <c r="I108"/>
  <c r="H108"/>
  <c r="G108"/>
  <c r="F108"/>
  <c r="D108"/>
  <c r="P107"/>
  <c r="O107"/>
  <c r="N107"/>
  <c r="M107"/>
  <c r="L107"/>
  <c r="K107"/>
  <c r="J107"/>
  <c r="I107"/>
  <c r="H107"/>
  <c r="G107"/>
  <c r="F107"/>
  <c r="D107"/>
  <c r="P106"/>
  <c r="O106"/>
  <c r="N106"/>
  <c r="M106"/>
  <c r="L106"/>
  <c r="K106"/>
  <c r="J106"/>
  <c r="I106"/>
  <c r="H106"/>
  <c r="G106"/>
  <c r="F106"/>
  <c r="D106"/>
  <c r="P105"/>
  <c r="O105"/>
  <c r="N105"/>
  <c r="M105"/>
  <c r="L105"/>
  <c r="K105"/>
  <c r="J105"/>
  <c r="I105"/>
  <c r="H105"/>
  <c r="G105"/>
  <c r="F105"/>
  <c r="D105"/>
  <c r="P104"/>
  <c r="O104"/>
  <c r="N104"/>
  <c r="M104"/>
  <c r="L104"/>
  <c r="K104"/>
  <c r="J104"/>
  <c r="I104"/>
  <c r="H104"/>
  <c r="G104"/>
  <c r="F104"/>
  <c r="D104"/>
  <c r="P103"/>
  <c r="O103"/>
  <c r="N103"/>
  <c r="M103"/>
  <c r="L103"/>
  <c r="K103"/>
  <c r="J103"/>
  <c r="I103"/>
  <c r="H103"/>
  <c r="G103"/>
  <c r="F103"/>
  <c r="D103"/>
  <c r="P102"/>
  <c r="O102"/>
  <c r="N102"/>
  <c r="M102"/>
  <c r="L102"/>
  <c r="K102"/>
  <c r="J102"/>
  <c r="I102"/>
  <c r="H102"/>
  <c r="G102"/>
  <c r="F102"/>
  <c r="D102"/>
  <c r="P101"/>
  <c r="O101"/>
  <c r="N101"/>
  <c r="M101"/>
  <c r="L101"/>
  <c r="K101"/>
  <c r="J101"/>
  <c r="I101"/>
  <c r="H101"/>
  <c r="G101"/>
  <c r="F101"/>
  <c r="D101"/>
  <c r="P100"/>
  <c r="O100"/>
  <c r="N100"/>
  <c r="M100"/>
  <c r="L100"/>
  <c r="K100"/>
  <c r="J100"/>
  <c r="I100"/>
  <c r="H100"/>
  <c r="G100"/>
  <c r="F100"/>
  <c r="D100"/>
  <c r="P99"/>
  <c r="O99"/>
  <c r="N99"/>
  <c r="M99"/>
  <c r="L99"/>
  <c r="K99"/>
  <c r="J99"/>
  <c r="I99"/>
  <c r="H99"/>
  <c r="G99"/>
  <c r="F99"/>
  <c r="D99"/>
  <c r="P98"/>
  <c r="O98"/>
  <c r="N98"/>
  <c r="M98"/>
  <c r="L98"/>
  <c r="K98"/>
  <c r="J98"/>
  <c r="I98"/>
  <c r="H98"/>
  <c r="G98"/>
  <c r="F98"/>
  <c r="D98"/>
  <c r="P97"/>
  <c r="O97"/>
  <c r="N97"/>
  <c r="M97"/>
  <c r="L97"/>
  <c r="K97"/>
  <c r="J97"/>
  <c r="I97"/>
  <c r="H97"/>
  <c r="G97"/>
  <c r="F97"/>
  <c r="D97"/>
  <c r="P96"/>
  <c r="O96"/>
  <c r="N96"/>
  <c r="M96"/>
  <c r="L96"/>
  <c r="K96"/>
  <c r="J96"/>
  <c r="I96"/>
  <c r="H96"/>
  <c r="G96"/>
  <c r="F96"/>
  <c r="D96"/>
  <c r="P95"/>
  <c r="O95"/>
  <c r="N95"/>
  <c r="M95"/>
  <c r="L95"/>
  <c r="K95"/>
  <c r="J95"/>
  <c r="I95"/>
  <c r="H95"/>
  <c r="G95"/>
  <c r="F95"/>
  <c r="D95"/>
  <c r="P94"/>
  <c r="O94"/>
  <c r="N94"/>
  <c r="M94"/>
  <c r="L94"/>
  <c r="K94"/>
  <c r="J94"/>
  <c r="I94"/>
  <c r="H94"/>
  <c r="G94"/>
  <c r="F94"/>
  <c r="D94"/>
  <c r="P93"/>
  <c r="O93"/>
  <c r="N93"/>
  <c r="M93"/>
  <c r="L93"/>
  <c r="K93"/>
  <c r="J93"/>
  <c r="I93"/>
  <c r="H93"/>
  <c r="G93"/>
  <c r="F93"/>
  <c r="D93"/>
  <c r="P92"/>
  <c r="O92"/>
  <c r="N92"/>
  <c r="M92"/>
  <c r="L92"/>
  <c r="K92"/>
  <c r="J92"/>
  <c r="I92"/>
  <c r="H92"/>
  <c r="G92"/>
  <c r="F92"/>
  <c r="D92"/>
  <c r="P91"/>
  <c r="O91"/>
  <c r="N91"/>
  <c r="M91"/>
  <c r="L91"/>
  <c r="K91"/>
  <c r="J91"/>
  <c r="I91"/>
  <c r="H91"/>
  <c r="G91"/>
  <c r="F91"/>
  <c r="D91"/>
  <c r="P90"/>
  <c r="O90"/>
  <c r="N90"/>
  <c r="M90"/>
  <c r="L90"/>
  <c r="K90"/>
  <c r="J90"/>
  <c r="I90"/>
  <c r="H90"/>
  <c r="G90"/>
  <c r="F90"/>
  <c r="D90"/>
  <c r="P89"/>
  <c r="O89"/>
  <c r="N89"/>
  <c r="M89"/>
  <c r="L89"/>
  <c r="K89"/>
  <c r="J89"/>
  <c r="I89"/>
  <c r="H89"/>
  <c r="G89"/>
  <c r="F89"/>
  <c r="D89"/>
  <c r="P88"/>
  <c r="O88"/>
  <c r="N88"/>
  <c r="M88"/>
  <c r="L88"/>
  <c r="K88"/>
  <c r="J88"/>
  <c r="I88"/>
  <c r="H88"/>
  <c r="G88"/>
  <c r="F88"/>
  <c r="D88"/>
  <c r="P87"/>
  <c r="O87"/>
  <c r="N87"/>
  <c r="M87"/>
  <c r="L87"/>
  <c r="K87"/>
  <c r="J87"/>
  <c r="I87"/>
  <c r="H87"/>
  <c r="G87"/>
  <c r="F87"/>
  <c r="D87"/>
  <c r="P86"/>
  <c r="O86"/>
  <c r="N86"/>
  <c r="M86"/>
  <c r="L86"/>
  <c r="K86"/>
  <c r="J86"/>
  <c r="I86"/>
  <c r="H86"/>
  <c r="G86"/>
  <c r="F86"/>
  <c r="D86"/>
  <c r="P85"/>
  <c r="O85"/>
  <c r="N85"/>
  <c r="M85"/>
  <c r="L85"/>
  <c r="K85"/>
  <c r="J85"/>
  <c r="I85"/>
  <c r="H85"/>
  <c r="G85"/>
  <c r="F85"/>
  <c r="D85"/>
  <c r="P84"/>
  <c r="O84"/>
  <c r="N84"/>
  <c r="M84"/>
  <c r="L84"/>
  <c r="K84"/>
  <c r="J84"/>
  <c r="I84"/>
  <c r="H84"/>
  <c r="G84"/>
  <c r="F84"/>
  <c r="D84"/>
  <c r="P83"/>
  <c r="O83"/>
  <c r="N83"/>
  <c r="M83"/>
  <c r="L83"/>
  <c r="K83"/>
  <c r="J83"/>
  <c r="I83"/>
  <c r="H83"/>
  <c r="G83"/>
  <c r="F83"/>
  <c r="D83"/>
  <c r="P82"/>
  <c r="O82"/>
  <c r="N82"/>
  <c r="M82"/>
  <c r="L82"/>
  <c r="K82"/>
  <c r="J82"/>
  <c r="I82"/>
  <c r="H82"/>
  <c r="G82"/>
  <c r="F82"/>
  <c r="D82"/>
  <c r="P81"/>
  <c r="O81"/>
  <c r="N81"/>
  <c r="M81"/>
  <c r="L81"/>
  <c r="K81"/>
  <c r="J81"/>
  <c r="I81"/>
  <c r="H81"/>
  <c r="G81"/>
  <c r="F81"/>
  <c r="D81"/>
  <c r="P80"/>
  <c r="O80"/>
  <c r="N80"/>
  <c r="M80"/>
  <c r="L80"/>
  <c r="K80"/>
  <c r="J80"/>
  <c r="I80"/>
  <c r="H80"/>
  <c r="G80"/>
  <c r="F80"/>
  <c r="D80"/>
  <c r="P79"/>
  <c r="O79"/>
  <c r="N79"/>
  <c r="M79"/>
  <c r="L79"/>
  <c r="K79"/>
  <c r="J79"/>
  <c r="I79"/>
  <c r="H79"/>
  <c r="G79"/>
  <c r="F79"/>
  <c r="D79"/>
  <c r="P78"/>
  <c r="O78"/>
  <c r="N78"/>
  <c r="M78"/>
  <c r="L78"/>
  <c r="K78"/>
  <c r="J78"/>
  <c r="I78"/>
  <c r="H78"/>
  <c r="G78"/>
  <c r="F78"/>
  <c r="D78"/>
  <c r="P77"/>
  <c r="O77"/>
  <c r="N77"/>
  <c r="M77"/>
  <c r="L77"/>
  <c r="K77"/>
  <c r="J77"/>
  <c r="I77"/>
  <c r="H77"/>
  <c r="G77"/>
  <c r="F77"/>
  <c r="D77"/>
  <c r="P76"/>
  <c r="O76"/>
  <c r="N76"/>
  <c r="M76"/>
  <c r="L76"/>
  <c r="K76"/>
  <c r="J76"/>
  <c r="I76"/>
  <c r="H76"/>
  <c r="G76"/>
  <c r="F76"/>
  <c r="D76"/>
  <c r="P75"/>
  <c r="O75"/>
  <c r="N75"/>
  <c r="M75"/>
  <c r="L75"/>
  <c r="K75"/>
  <c r="J75"/>
  <c r="I75"/>
  <c r="H75"/>
  <c r="G75"/>
  <c r="F75"/>
  <c r="D75"/>
  <c r="P74"/>
  <c r="O74"/>
  <c r="N74"/>
  <c r="M74"/>
  <c r="L74"/>
  <c r="K74"/>
  <c r="J74"/>
  <c r="I74"/>
  <c r="H74"/>
  <c r="G74"/>
  <c r="F74"/>
  <c r="D74"/>
  <c r="P73"/>
  <c r="O73"/>
  <c r="N73"/>
  <c r="M73"/>
  <c r="L73"/>
  <c r="K73"/>
  <c r="J73"/>
  <c r="I73"/>
  <c r="H73"/>
  <c r="G73"/>
  <c r="F73"/>
  <c r="D73"/>
  <c r="P72"/>
  <c r="O72"/>
  <c r="N72"/>
  <c r="M72"/>
  <c r="L72"/>
  <c r="K72"/>
  <c r="J72"/>
  <c r="I72"/>
  <c r="H72"/>
  <c r="G72"/>
  <c r="F72"/>
  <c r="D72"/>
  <c r="P71"/>
  <c r="O71"/>
  <c r="N71"/>
  <c r="M71"/>
  <c r="L71"/>
  <c r="K71"/>
  <c r="J71"/>
  <c r="I71"/>
  <c r="H71"/>
  <c r="G71"/>
  <c r="F71"/>
  <c r="D71"/>
  <c r="P70"/>
  <c r="O70"/>
  <c r="N70"/>
  <c r="M70"/>
  <c r="L70"/>
  <c r="K70"/>
  <c r="J70"/>
  <c r="I70"/>
  <c r="H70"/>
  <c r="G70"/>
  <c r="F70"/>
  <c r="D70"/>
  <c r="B70"/>
  <c r="P69"/>
  <c r="O69"/>
  <c r="N69"/>
  <c r="M69"/>
  <c r="L69"/>
  <c r="K69"/>
  <c r="J69"/>
  <c r="I69"/>
  <c r="H69"/>
  <c r="G69"/>
  <c r="F69"/>
  <c r="D69"/>
  <c r="P68"/>
  <c r="O68"/>
  <c r="N68"/>
  <c r="M68"/>
  <c r="L68"/>
  <c r="K68"/>
  <c r="J68"/>
  <c r="I68"/>
  <c r="H68"/>
  <c r="G68"/>
  <c r="F68"/>
  <c r="D68"/>
  <c r="P67"/>
  <c r="O67"/>
  <c r="N67"/>
  <c r="M67"/>
  <c r="L67"/>
  <c r="K67"/>
  <c r="J67"/>
  <c r="I67"/>
  <c r="H67"/>
  <c r="G67"/>
  <c r="F67"/>
  <c r="D67"/>
  <c r="P66"/>
  <c r="O66"/>
  <c r="N66"/>
  <c r="M66"/>
  <c r="L66"/>
  <c r="K66"/>
  <c r="J66"/>
  <c r="I66"/>
  <c r="H66"/>
  <c r="G66"/>
  <c r="F66"/>
  <c r="D66"/>
  <c r="P65"/>
  <c r="O65"/>
  <c r="N65"/>
  <c r="M65"/>
  <c r="L65"/>
  <c r="K65"/>
  <c r="J65"/>
  <c r="I65"/>
  <c r="H65"/>
  <c r="G65"/>
  <c r="F65"/>
  <c r="D65"/>
  <c r="P64"/>
  <c r="O64"/>
  <c r="N64"/>
  <c r="M64"/>
  <c r="L64"/>
  <c r="K64"/>
  <c r="J64"/>
  <c r="I64"/>
  <c r="H64"/>
  <c r="G64"/>
  <c r="F64"/>
  <c r="D64"/>
  <c r="P63"/>
  <c r="O63"/>
  <c r="N63"/>
  <c r="M63"/>
  <c r="L63"/>
  <c r="K63"/>
  <c r="J63"/>
  <c r="I63"/>
  <c r="H63"/>
  <c r="G63"/>
  <c r="F63"/>
  <c r="D63"/>
  <c r="P62"/>
  <c r="O62"/>
  <c r="N62"/>
  <c r="M62"/>
  <c r="L62"/>
  <c r="K62"/>
  <c r="J62"/>
  <c r="I62"/>
  <c r="H62"/>
  <c r="G62"/>
  <c r="F62"/>
  <c r="D62"/>
  <c r="U58"/>
  <c r="O58"/>
  <c r="I32"/>
  <c r="I35"/>
  <c r="D43"/>
  <c r="D47"/>
  <c r="E55"/>
  <c r="D55"/>
  <c r="C55"/>
  <c r="B55"/>
  <c r="E47"/>
  <c r="E54"/>
  <c r="D54"/>
  <c r="C54"/>
  <c r="B54"/>
  <c r="E43"/>
  <c r="F47"/>
  <c r="E53"/>
  <c r="D53"/>
  <c r="C53"/>
  <c r="B53"/>
  <c r="R52"/>
  <c r="Q52"/>
  <c r="N52"/>
  <c r="G52"/>
  <c r="E52"/>
  <c r="D52"/>
  <c r="C52"/>
  <c r="B52"/>
  <c r="R51"/>
  <c r="Q51"/>
  <c r="N51"/>
  <c r="G51"/>
  <c r="R50"/>
  <c r="Q50"/>
  <c r="N50"/>
  <c r="B50"/>
  <c r="R49"/>
  <c r="Q49"/>
  <c r="N49"/>
  <c r="D48"/>
  <c r="L47"/>
  <c r="G40"/>
  <c r="F40"/>
  <c r="B40"/>
  <c r="AG25"/>
  <c r="AF25"/>
  <c r="AE25"/>
  <c r="AD25"/>
  <c r="AG24"/>
  <c r="AF24"/>
  <c r="AE24"/>
  <c r="AD24"/>
  <c r="AG23"/>
  <c r="AF23"/>
  <c r="AE23"/>
  <c r="AD23"/>
  <c r="AI22"/>
  <c r="AG22"/>
  <c r="AF22"/>
  <c r="AE22"/>
  <c r="AD22"/>
  <c r="J22"/>
  <c r="AI21"/>
  <c r="J21"/>
  <c r="AD20"/>
  <c r="J20"/>
  <c r="AF18"/>
  <c r="AH17"/>
  <c r="AG17"/>
  <c r="AF17"/>
  <c r="AF15"/>
  <c r="AG13"/>
  <c r="AF13"/>
  <c r="AI10"/>
  <c r="AH10"/>
  <c r="AD10"/>
  <c r="AG7"/>
  <c r="P102" i="7"/>
  <c r="O102"/>
  <c r="N102"/>
  <c r="M102"/>
  <c r="L102"/>
  <c r="K102"/>
  <c r="J102"/>
  <c r="I102"/>
  <c r="H102"/>
  <c r="G102"/>
  <c r="F102"/>
  <c r="E102"/>
  <c r="P101"/>
  <c r="O101"/>
  <c r="N101"/>
  <c r="M101"/>
  <c r="L101"/>
  <c r="K101"/>
  <c r="J101"/>
  <c r="I101"/>
  <c r="H101"/>
  <c r="G101"/>
  <c r="F101"/>
  <c r="E101"/>
  <c r="P100"/>
  <c r="O100"/>
  <c r="N100"/>
  <c r="M100"/>
  <c r="L100"/>
  <c r="K100"/>
  <c r="J100"/>
  <c r="I100"/>
  <c r="H100"/>
  <c r="G100"/>
  <c r="F100"/>
  <c r="E100"/>
  <c r="P99"/>
  <c r="O99"/>
  <c r="N99"/>
  <c r="M99"/>
  <c r="L99"/>
  <c r="K99"/>
  <c r="J99"/>
  <c r="I99"/>
  <c r="H99"/>
  <c r="G99"/>
  <c r="F99"/>
  <c r="E99"/>
  <c r="P98"/>
  <c r="O98"/>
  <c r="N98"/>
  <c r="M98"/>
  <c r="L98"/>
  <c r="K98"/>
  <c r="J98"/>
  <c r="I98"/>
  <c r="H98"/>
  <c r="G98"/>
  <c r="F98"/>
  <c r="E98"/>
  <c r="P97"/>
  <c r="O97"/>
  <c r="N97"/>
  <c r="M97"/>
  <c r="L97"/>
  <c r="K97"/>
  <c r="J97"/>
  <c r="I97"/>
  <c r="H97"/>
  <c r="G97"/>
  <c r="F97"/>
  <c r="E97"/>
  <c r="P96"/>
  <c r="O96"/>
  <c r="N96"/>
  <c r="M96"/>
  <c r="L96"/>
  <c r="K96"/>
  <c r="J96"/>
  <c r="I96"/>
  <c r="H96"/>
  <c r="G96"/>
  <c r="F96"/>
  <c r="E96"/>
  <c r="P95"/>
  <c r="O95"/>
  <c r="N95"/>
  <c r="M95"/>
  <c r="L95"/>
  <c r="K95"/>
  <c r="J95"/>
  <c r="I95"/>
  <c r="H95"/>
  <c r="G95"/>
  <c r="F95"/>
  <c r="E95"/>
  <c r="P94"/>
  <c r="O94"/>
  <c r="N94"/>
  <c r="M94"/>
  <c r="L94"/>
  <c r="K94"/>
  <c r="J94"/>
  <c r="I94"/>
  <c r="H94"/>
  <c r="G94"/>
  <c r="F94"/>
  <c r="E94"/>
  <c r="P93"/>
  <c r="O93"/>
  <c r="N93"/>
  <c r="M93"/>
  <c r="L93"/>
  <c r="K93"/>
  <c r="J93"/>
  <c r="I93"/>
  <c r="H93"/>
  <c r="G93"/>
  <c r="F93"/>
  <c r="E93"/>
  <c r="P92"/>
  <c r="O92"/>
  <c r="N92"/>
  <c r="M92"/>
  <c r="L92"/>
  <c r="K92"/>
  <c r="J92"/>
  <c r="I92"/>
  <c r="H92"/>
  <c r="G92"/>
  <c r="F92"/>
  <c r="E92"/>
  <c r="P91"/>
  <c r="O91"/>
  <c r="N91"/>
  <c r="M91"/>
  <c r="L91"/>
  <c r="K91"/>
  <c r="J91"/>
  <c r="I91"/>
  <c r="H91"/>
  <c r="G91"/>
  <c r="F91"/>
  <c r="E91"/>
  <c r="P81"/>
  <c r="O81"/>
  <c r="N81"/>
  <c r="M81"/>
  <c r="L81"/>
  <c r="K81"/>
  <c r="J81"/>
  <c r="I81"/>
  <c r="H81"/>
  <c r="G81"/>
  <c r="F81"/>
  <c r="E81"/>
  <c r="P80"/>
  <c r="O80"/>
  <c r="N80"/>
  <c r="M80"/>
  <c r="L80"/>
  <c r="K80"/>
  <c r="J80"/>
  <c r="I80"/>
  <c r="H80"/>
  <c r="G80"/>
  <c r="F80"/>
  <c r="E80"/>
  <c r="P79"/>
  <c r="O79"/>
  <c r="N79"/>
  <c r="M79"/>
  <c r="L79"/>
  <c r="K79"/>
  <c r="J79"/>
  <c r="I79"/>
  <c r="H79"/>
  <c r="G79"/>
  <c r="F79"/>
  <c r="E79"/>
  <c r="P78"/>
  <c r="O78"/>
  <c r="N78"/>
  <c r="M78"/>
  <c r="L78"/>
  <c r="K78"/>
  <c r="J78"/>
  <c r="I78"/>
  <c r="H78"/>
  <c r="G78"/>
  <c r="F78"/>
  <c r="E78"/>
  <c r="P77"/>
  <c r="O77"/>
  <c r="N77"/>
  <c r="M77"/>
  <c r="L77"/>
  <c r="K77"/>
  <c r="J77"/>
  <c r="I77"/>
  <c r="H77"/>
  <c r="G77"/>
  <c r="F77"/>
  <c r="E77"/>
  <c r="P76"/>
  <c r="O76"/>
  <c r="N76"/>
  <c r="M76"/>
  <c r="L76"/>
  <c r="K76"/>
  <c r="J76"/>
  <c r="I76"/>
  <c r="H76"/>
  <c r="G76"/>
  <c r="F76"/>
  <c r="E76"/>
  <c r="P75"/>
  <c r="O75"/>
  <c r="N75"/>
  <c r="M75"/>
  <c r="L75"/>
  <c r="K75"/>
  <c r="J75"/>
  <c r="I75"/>
  <c r="H75"/>
  <c r="G75"/>
  <c r="F75"/>
  <c r="E75"/>
  <c r="P74"/>
  <c r="O74"/>
  <c r="N74"/>
  <c r="M74"/>
  <c r="L74"/>
  <c r="K74"/>
  <c r="J74"/>
  <c r="I74"/>
  <c r="H74"/>
  <c r="G74"/>
  <c r="F74"/>
  <c r="E74"/>
  <c r="P64"/>
  <c r="O64"/>
  <c r="N64"/>
  <c r="M64"/>
  <c r="L64"/>
  <c r="K64"/>
  <c r="J64"/>
  <c r="I64"/>
  <c r="H64"/>
  <c r="G64"/>
  <c r="F64"/>
  <c r="E64"/>
  <c r="P63"/>
  <c r="O63"/>
  <c r="N63"/>
  <c r="M63"/>
  <c r="L63"/>
  <c r="K63"/>
  <c r="J63"/>
  <c r="I63"/>
  <c r="H63"/>
  <c r="G63"/>
  <c r="F63"/>
  <c r="E63"/>
  <c r="P62"/>
  <c r="O62"/>
  <c r="N62"/>
  <c r="M62"/>
  <c r="L62"/>
  <c r="K62"/>
  <c r="J62"/>
  <c r="I62"/>
  <c r="H62"/>
  <c r="G62"/>
  <c r="F62"/>
  <c r="E62"/>
  <c r="P61"/>
  <c r="O61"/>
  <c r="N61"/>
  <c r="M61"/>
  <c r="L61"/>
  <c r="K61"/>
  <c r="J61"/>
  <c r="I61"/>
  <c r="H61"/>
  <c r="G61"/>
  <c r="F61"/>
  <c r="E61"/>
  <c r="P60"/>
  <c r="O60"/>
  <c r="N60"/>
  <c r="M60"/>
  <c r="L60"/>
  <c r="K60"/>
  <c r="J60"/>
  <c r="I60"/>
  <c r="H60"/>
  <c r="G60"/>
  <c r="F60"/>
  <c r="E60"/>
  <c r="P59"/>
  <c r="O59"/>
  <c r="N59"/>
  <c r="M59"/>
  <c r="L59"/>
  <c r="K59"/>
  <c r="J59"/>
  <c r="I59"/>
  <c r="H59"/>
  <c r="G59"/>
  <c r="F59"/>
  <c r="E59"/>
  <c r="P58"/>
  <c r="O58"/>
  <c r="N58"/>
  <c r="M58"/>
  <c r="L58"/>
  <c r="K58"/>
  <c r="J58"/>
  <c r="I58"/>
  <c r="H58"/>
  <c r="G58"/>
  <c r="F58"/>
  <c r="E58"/>
  <c r="P57"/>
  <c r="O57"/>
  <c r="N57"/>
  <c r="M57"/>
  <c r="L57"/>
  <c r="K57"/>
  <c r="J57"/>
  <c r="I57"/>
  <c r="H57"/>
  <c r="G57"/>
  <c r="F57"/>
  <c r="E57"/>
  <c r="P56"/>
  <c r="O56"/>
  <c r="N56"/>
  <c r="M56"/>
  <c r="L56"/>
  <c r="K56"/>
  <c r="J56"/>
  <c r="I56"/>
  <c r="H56"/>
  <c r="G56"/>
  <c r="F56"/>
  <c r="E56"/>
  <c r="P55"/>
  <c r="O55"/>
  <c r="N55"/>
  <c r="M55"/>
  <c r="L55"/>
  <c r="K55"/>
  <c r="J55"/>
  <c r="I55"/>
  <c r="H55"/>
  <c r="G55"/>
  <c r="F55"/>
  <c r="E55"/>
  <c r="P54"/>
  <c r="O54"/>
  <c r="N54"/>
  <c r="M54"/>
  <c r="L54"/>
  <c r="K54"/>
  <c r="J54"/>
  <c r="I54"/>
  <c r="H54"/>
  <c r="G54"/>
  <c r="F54"/>
  <c r="E54"/>
  <c r="P44"/>
  <c r="O44"/>
  <c r="N44"/>
  <c r="M44"/>
  <c r="L44"/>
  <c r="K44"/>
  <c r="J44"/>
  <c r="I44"/>
  <c r="H44"/>
  <c r="G44"/>
  <c r="F44"/>
  <c r="E44"/>
  <c r="P43"/>
  <c r="O43"/>
  <c r="N43"/>
  <c r="M43"/>
  <c r="L43"/>
  <c r="K43"/>
  <c r="J43"/>
  <c r="I43"/>
  <c r="H43"/>
  <c r="G43"/>
  <c r="F43"/>
  <c r="E43"/>
  <c r="P42"/>
  <c r="O42"/>
  <c r="N42"/>
  <c r="M42"/>
  <c r="L42"/>
  <c r="K42"/>
  <c r="J42"/>
  <c r="I42"/>
  <c r="H42"/>
  <c r="G42"/>
  <c r="F42"/>
  <c r="E42"/>
  <c r="P41"/>
  <c r="O41"/>
  <c r="N41"/>
  <c r="M41"/>
  <c r="L41"/>
  <c r="K41"/>
  <c r="J41"/>
  <c r="I41"/>
  <c r="H41"/>
  <c r="G41"/>
  <c r="F41"/>
  <c r="E41"/>
  <c r="P40"/>
  <c r="O40"/>
  <c r="N40"/>
  <c r="M40"/>
  <c r="L40"/>
  <c r="K40"/>
  <c r="J40"/>
  <c r="I40"/>
  <c r="H40"/>
  <c r="G40"/>
  <c r="F40"/>
  <c r="E40"/>
  <c r="P39"/>
  <c r="O39"/>
  <c r="N39"/>
  <c r="M39"/>
  <c r="L39"/>
  <c r="K39"/>
  <c r="J39"/>
  <c r="I39"/>
  <c r="H39"/>
  <c r="G39"/>
  <c r="F39"/>
  <c r="E39"/>
  <c r="P38"/>
  <c r="O38"/>
  <c r="N38"/>
  <c r="M38"/>
  <c r="L38"/>
  <c r="K38"/>
  <c r="J38"/>
  <c r="I38"/>
  <c r="H38"/>
  <c r="G38"/>
  <c r="F38"/>
  <c r="E38"/>
  <c r="P37"/>
  <c r="O37"/>
  <c r="N37"/>
  <c r="M37"/>
  <c r="L37"/>
  <c r="K37"/>
  <c r="J37"/>
  <c r="I37"/>
  <c r="H37"/>
  <c r="G37"/>
  <c r="F37"/>
  <c r="E37"/>
  <c r="P36"/>
  <c r="O36"/>
  <c r="N36"/>
  <c r="M36"/>
  <c r="L36"/>
  <c r="K36"/>
  <c r="J36"/>
  <c r="I36"/>
  <c r="H36"/>
  <c r="G36"/>
  <c r="F36"/>
  <c r="E36"/>
  <c r="P35"/>
  <c r="O35"/>
  <c r="N35"/>
  <c r="M35"/>
  <c r="L35"/>
  <c r="K35"/>
  <c r="J35"/>
  <c r="I35"/>
  <c r="H35"/>
  <c r="G35"/>
  <c r="F35"/>
  <c r="E35"/>
  <c r="P34"/>
  <c r="O34"/>
  <c r="N34"/>
  <c r="M34"/>
  <c r="L34"/>
  <c r="K34"/>
  <c r="J34"/>
  <c r="I34"/>
  <c r="H34"/>
  <c r="G34"/>
  <c r="F34"/>
  <c r="E34"/>
  <c r="P24"/>
  <c r="O24"/>
  <c r="N24"/>
  <c r="M24"/>
  <c r="L24"/>
  <c r="K24"/>
  <c r="J24"/>
  <c r="I24"/>
  <c r="H24"/>
  <c r="G24"/>
  <c r="F24"/>
  <c r="E24"/>
  <c r="P23"/>
  <c r="O23"/>
  <c r="N23"/>
  <c r="M23"/>
  <c r="L23"/>
  <c r="K23"/>
  <c r="J23"/>
  <c r="I23"/>
  <c r="H23"/>
  <c r="G23"/>
  <c r="F23"/>
  <c r="E23"/>
  <c r="P22"/>
  <c r="O22"/>
  <c r="N22"/>
  <c r="M22"/>
  <c r="L22"/>
  <c r="K22"/>
  <c r="J22"/>
  <c r="I22"/>
  <c r="H22"/>
  <c r="G22"/>
  <c r="F22"/>
  <c r="E22"/>
  <c r="P21"/>
  <c r="O21"/>
  <c r="N21"/>
  <c r="M21"/>
  <c r="L21"/>
  <c r="K21"/>
  <c r="J21"/>
  <c r="I21"/>
  <c r="H21"/>
  <c r="G21"/>
  <c r="F21"/>
  <c r="E21"/>
  <c r="P20"/>
  <c r="O20"/>
  <c r="N20"/>
  <c r="M20"/>
  <c r="L20"/>
  <c r="K20"/>
  <c r="J20"/>
  <c r="I20"/>
  <c r="H20"/>
  <c r="G20"/>
  <c r="F20"/>
  <c r="E20"/>
  <c r="P19"/>
  <c r="O19"/>
  <c r="N19"/>
  <c r="M19"/>
  <c r="L19"/>
  <c r="K19"/>
  <c r="J19"/>
  <c r="I19"/>
  <c r="H19"/>
  <c r="G19"/>
  <c r="F19"/>
  <c r="E19"/>
  <c r="P18"/>
  <c r="O18"/>
  <c r="N18"/>
  <c r="M18"/>
  <c r="L18"/>
  <c r="K18"/>
  <c r="J18"/>
  <c r="I18"/>
  <c r="H18"/>
  <c r="G18"/>
  <c r="F18"/>
  <c r="E18"/>
  <c r="P17"/>
  <c r="O17"/>
  <c r="N17"/>
  <c r="M17"/>
  <c r="L17"/>
  <c r="K17"/>
  <c r="J17"/>
  <c r="I17"/>
  <c r="H17"/>
  <c r="G17"/>
  <c r="F17"/>
  <c r="E17"/>
  <c r="P16"/>
  <c r="O16"/>
  <c r="N16"/>
  <c r="M16"/>
  <c r="L16"/>
  <c r="K16"/>
  <c r="J16"/>
  <c r="I16"/>
  <c r="H16"/>
  <c r="G16"/>
  <c r="F16"/>
  <c r="E16"/>
  <c r="P15"/>
  <c r="O15"/>
  <c r="N15"/>
  <c r="M15"/>
  <c r="L15"/>
  <c r="K15"/>
  <c r="J15"/>
  <c r="I15"/>
  <c r="H15"/>
  <c r="G15"/>
  <c r="F15"/>
  <c r="E15"/>
  <c r="P14"/>
  <c r="O14"/>
  <c r="N14"/>
  <c r="M14"/>
  <c r="L14"/>
  <c r="K14"/>
  <c r="J14"/>
  <c r="I14"/>
  <c r="H14"/>
  <c r="G14"/>
  <c r="F14"/>
  <c r="E14"/>
  <c r="P13"/>
  <c r="O13"/>
  <c r="N13"/>
  <c r="M13"/>
  <c r="L13"/>
  <c r="K13"/>
  <c r="J13"/>
  <c r="I13"/>
  <c r="H13"/>
  <c r="G13"/>
  <c r="F13"/>
  <c r="E13"/>
  <c r="R9"/>
  <c r="P103" i="6"/>
  <c r="O103"/>
  <c r="N103"/>
  <c r="M103"/>
  <c r="L103"/>
  <c r="K103"/>
  <c r="J103"/>
  <c r="I103"/>
  <c r="H103"/>
  <c r="G103"/>
  <c r="F103"/>
  <c r="E103"/>
  <c r="P102"/>
  <c r="O102"/>
  <c r="N102"/>
  <c r="M102"/>
  <c r="L102"/>
  <c r="K102"/>
  <c r="J102"/>
  <c r="I102"/>
  <c r="H102"/>
  <c r="G102"/>
  <c r="F102"/>
  <c r="E102"/>
  <c r="P101"/>
  <c r="O101"/>
  <c r="N101"/>
  <c r="M101"/>
  <c r="L101"/>
  <c r="K101"/>
  <c r="J101"/>
  <c r="I101"/>
  <c r="H101"/>
  <c r="G101"/>
  <c r="F101"/>
  <c r="E101"/>
  <c r="P100"/>
  <c r="O100"/>
  <c r="N100"/>
  <c r="M100"/>
  <c r="L100"/>
  <c r="K100"/>
  <c r="J100"/>
  <c r="I100"/>
  <c r="H100"/>
  <c r="G100"/>
  <c r="F100"/>
  <c r="E100"/>
  <c r="P99"/>
  <c r="O99"/>
  <c r="N99"/>
  <c r="M99"/>
  <c r="L99"/>
  <c r="K99"/>
  <c r="J99"/>
  <c r="I99"/>
  <c r="H99"/>
  <c r="G99"/>
  <c r="F99"/>
  <c r="E99"/>
  <c r="P98"/>
  <c r="O98"/>
  <c r="N98"/>
  <c r="M98"/>
  <c r="L98"/>
  <c r="K98"/>
  <c r="J98"/>
  <c r="I98"/>
  <c r="H98"/>
  <c r="G98"/>
  <c r="F98"/>
  <c r="E98"/>
  <c r="P97"/>
  <c r="O97"/>
  <c r="N97"/>
  <c r="M97"/>
  <c r="L97"/>
  <c r="K97"/>
  <c r="J97"/>
  <c r="I97"/>
  <c r="H97"/>
  <c r="G97"/>
  <c r="F97"/>
  <c r="E97"/>
  <c r="P96"/>
  <c r="O96"/>
  <c r="N96"/>
  <c r="M96"/>
  <c r="L96"/>
  <c r="K96"/>
  <c r="J96"/>
  <c r="I96"/>
  <c r="H96"/>
  <c r="G96"/>
  <c r="F96"/>
  <c r="E96"/>
  <c r="P95"/>
  <c r="O95"/>
  <c r="N95"/>
  <c r="M95"/>
  <c r="L95"/>
  <c r="K95"/>
  <c r="J95"/>
  <c r="I95"/>
  <c r="H95"/>
  <c r="G95"/>
  <c r="F95"/>
  <c r="E95"/>
  <c r="P94"/>
  <c r="O94"/>
  <c r="N94"/>
  <c r="M94"/>
  <c r="L94"/>
  <c r="K94"/>
  <c r="J94"/>
  <c r="I94"/>
  <c r="H94"/>
  <c r="G94"/>
  <c r="F94"/>
  <c r="E94"/>
  <c r="P93"/>
  <c r="O93"/>
  <c r="N93"/>
  <c r="M93"/>
  <c r="L93"/>
  <c r="K93"/>
  <c r="J93"/>
  <c r="I93"/>
  <c r="H93"/>
  <c r="G93"/>
  <c r="F93"/>
  <c r="E93"/>
  <c r="P92"/>
  <c r="O92"/>
  <c r="N92"/>
  <c r="M92"/>
  <c r="L92"/>
  <c r="K92"/>
  <c r="J92"/>
  <c r="I92"/>
  <c r="H92"/>
  <c r="G92"/>
  <c r="F92"/>
  <c r="E92"/>
  <c r="P82"/>
  <c r="O82"/>
  <c r="N82"/>
  <c r="M82"/>
  <c r="L82"/>
  <c r="K82"/>
  <c r="J82"/>
  <c r="I82"/>
  <c r="H82"/>
  <c r="G82"/>
  <c r="F82"/>
  <c r="E82"/>
  <c r="P81"/>
  <c r="O81"/>
  <c r="N81"/>
  <c r="M81"/>
  <c r="L81"/>
  <c r="K81"/>
  <c r="J81"/>
  <c r="I81"/>
  <c r="H81"/>
  <c r="G81"/>
  <c r="F81"/>
  <c r="E81"/>
  <c r="P80"/>
  <c r="O80"/>
  <c r="N80"/>
  <c r="M80"/>
  <c r="L80"/>
  <c r="K80"/>
  <c r="J80"/>
  <c r="I80"/>
  <c r="H80"/>
  <c r="G80"/>
  <c r="F80"/>
  <c r="E80"/>
  <c r="P79"/>
  <c r="O79"/>
  <c r="N79"/>
  <c r="M79"/>
  <c r="L79"/>
  <c r="K79"/>
  <c r="J79"/>
  <c r="I79"/>
  <c r="H79"/>
  <c r="G79"/>
  <c r="F79"/>
  <c r="E79"/>
  <c r="P78"/>
  <c r="O78"/>
  <c r="N78"/>
  <c r="M78"/>
  <c r="L78"/>
  <c r="K78"/>
  <c r="J78"/>
  <c r="I78"/>
  <c r="H78"/>
  <c r="G78"/>
  <c r="F78"/>
  <c r="E78"/>
  <c r="P77"/>
  <c r="O77"/>
  <c r="N77"/>
  <c r="M77"/>
  <c r="L77"/>
  <c r="K77"/>
  <c r="J77"/>
  <c r="I77"/>
  <c r="H77"/>
  <c r="G77"/>
  <c r="F77"/>
  <c r="E77"/>
  <c r="P76"/>
  <c r="O76"/>
  <c r="N76"/>
  <c r="M76"/>
  <c r="L76"/>
  <c r="K76"/>
  <c r="J76"/>
  <c r="I76"/>
  <c r="H76"/>
  <c r="G76"/>
  <c r="F76"/>
  <c r="E76"/>
  <c r="P75"/>
  <c r="O75"/>
  <c r="N75"/>
  <c r="M75"/>
  <c r="L75"/>
  <c r="K75"/>
  <c r="J75"/>
  <c r="I75"/>
  <c r="H75"/>
  <c r="G75"/>
  <c r="F75"/>
  <c r="E75"/>
  <c r="P65"/>
  <c r="O65"/>
  <c r="N65"/>
  <c r="M65"/>
  <c r="L65"/>
  <c r="K65"/>
  <c r="J65"/>
  <c r="I65"/>
  <c r="H65"/>
  <c r="G65"/>
  <c r="F65"/>
  <c r="E65"/>
  <c r="P64"/>
  <c r="O64"/>
  <c r="N64"/>
  <c r="M64"/>
  <c r="L64"/>
  <c r="K64"/>
  <c r="J64"/>
  <c r="I64"/>
  <c r="H64"/>
  <c r="G64"/>
  <c r="F64"/>
  <c r="E64"/>
  <c r="P63"/>
  <c r="O63"/>
  <c r="N63"/>
  <c r="M63"/>
  <c r="L63"/>
  <c r="K63"/>
  <c r="J63"/>
  <c r="I63"/>
  <c r="H63"/>
  <c r="G63"/>
  <c r="F63"/>
  <c r="E63"/>
  <c r="P62"/>
  <c r="O62"/>
  <c r="N62"/>
  <c r="M62"/>
  <c r="L62"/>
  <c r="K62"/>
  <c r="J62"/>
  <c r="I62"/>
  <c r="H62"/>
  <c r="G62"/>
  <c r="F62"/>
  <c r="E62"/>
  <c r="P61"/>
  <c r="O61"/>
  <c r="N61"/>
  <c r="M61"/>
  <c r="L61"/>
  <c r="K61"/>
  <c r="J61"/>
  <c r="I61"/>
  <c r="H61"/>
  <c r="G61"/>
  <c r="F61"/>
  <c r="E61"/>
  <c r="P60"/>
  <c r="O60"/>
  <c r="N60"/>
  <c r="M60"/>
  <c r="L60"/>
  <c r="K60"/>
  <c r="J60"/>
  <c r="I60"/>
  <c r="H60"/>
  <c r="G60"/>
  <c r="F60"/>
  <c r="E60"/>
  <c r="P59"/>
  <c r="O59"/>
  <c r="N59"/>
  <c r="M59"/>
  <c r="L59"/>
  <c r="K59"/>
  <c r="J59"/>
  <c r="I59"/>
  <c r="H59"/>
  <c r="G59"/>
  <c r="F59"/>
  <c r="E59"/>
  <c r="P58"/>
  <c r="O58"/>
  <c r="N58"/>
  <c r="M58"/>
  <c r="L58"/>
  <c r="K58"/>
  <c r="J58"/>
  <c r="I58"/>
  <c r="H58"/>
  <c r="G58"/>
  <c r="F58"/>
  <c r="E58"/>
  <c r="P57"/>
  <c r="O57"/>
  <c r="N57"/>
  <c r="M57"/>
  <c r="L57"/>
  <c r="K57"/>
  <c r="J57"/>
  <c r="I57"/>
  <c r="H57"/>
  <c r="G57"/>
  <c r="F57"/>
  <c r="E57"/>
  <c r="P56"/>
  <c r="O56"/>
  <c r="N56"/>
  <c r="M56"/>
  <c r="L56"/>
  <c r="K56"/>
  <c r="J56"/>
  <c r="I56"/>
  <c r="H56"/>
  <c r="G56"/>
  <c r="F56"/>
  <c r="E56"/>
  <c r="P55"/>
  <c r="O55"/>
  <c r="N55"/>
  <c r="M55"/>
  <c r="L55"/>
  <c r="K55"/>
  <c r="J55"/>
  <c r="I55"/>
  <c r="H55"/>
  <c r="G55"/>
  <c r="F55"/>
  <c r="E55"/>
  <c r="P45"/>
  <c r="O45"/>
  <c r="N45"/>
  <c r="M45"/>
  <c r="L45"/>
  <c r="K45"/>
  <c r="J45"/>
  <c r="I45"/>
  <c r="H45"/>
  <c r="G45"/>
  <c r="F45"/>
  <c r="E45"/>
  <c r="P44"/>
  <c r="O44"/>
  <c r="N44"/>
  <c r="M44"/>
  <c r="L44"/>
  <c r="K44"/>
  <c r="J44"/>
  <c r="I44"/>
  <c r="H44"/>
  <c r="G44"/>
  <c r="F44"/>
  <c r="E44"/>
  <c r="P43"/>
  <c r="O43"/>
  <c r="N43"/>
  <c r="M43"/>
  <c r="L43"/>
  <c r="K43"/>
  <c r="J43"/>
  <c r="I43"/>
  <c r="H43"/>
  <c r="G43"/>
  <c r="F43"/>
  <c r="E43"/>
  <c r="P42"/>
  <c r="O42"/>
  <c r="N42"/>
  <c r="M42"/>
  <c r="L42"/>
  <c r="K42"/>
  <c r="J42"/>
  <c r="I42"/>
  <c r="H42"/>
  <c r="G42"/>
  <c r="F42"/>
  <c r="E42"/>
  <c r="P41"/>
  <c r="O41"/>
  <c r="N41"/>
  <c r="M41"/>
  <c r="L41"/>
  <c r="K41"/>
  <c r="J41"/>
  <c r="I41"/>
  <c r="H41"/>
  <c r="G41"/>
  <c r="F41"/>
  <c r="E41"/>
  <c r="P40"/>
  <c r="O40"/>
  <c r="N40"/>
  <c r="M40"/>
  <c r="L40"/>
  <c r="K40"/>
  <c r="J40"/>
  <c r="I40"/>
  <c r="H40"/>
  <c r="G40"/>
  <c r="F40"/>
  <c r="E40"/>
  <c r="P39"/>
  <c r="O39"/>
  <c r="N39"/>
  <c r="M39"/>
  <c r="L39"/>
  <c r="K39"/>
  <c r="J39"/>
  <c r="I39"/>
  <c r="H39"/>
  <c r="G39"/>
  <c r="F39"/>
  <c r="E39"/>
  <c r="P38"/>
  <c r="O38"/>
  <c r="N38"/>
  <c r="M38"/>
  <c r="L38"/>
  <c r="K38"/>
  <c r="J38"/>
  <c r="I38"/>
  <c r="H38"/>
  <c r="G38"/>
  <c r="F38"/>
  <c r="E38"/>
  <c r="P37"/>
  <c r="O37"/>
  <c r="N37"/>
  <c r="M37"/>
  <c r="L37"/>
  <c r="K37"/>
  <c r="J37"/>
  <c r="I37"/>
  <c r="H37"/>
  <c r="G37"/>
  <c r="F37"/>
  <c r="E37"/>
  <c r="P36"/>
  <c r="O36"/>
  <c r="N36"/>
  <c r="M36"/>
  <c r="L36"/>
  <c r="K36"/>
  <c r="J36"/>
  <c r="I36"/>
  <c r="H36"/>
  <c r="G36"/>
  <c r="F36"/>
  <c r="E36"/>
  <c r="P35"/>
  <c r="O35"/>
  <c r="N35"/>
  <c r="M35"/>
  <c r="L35"/>
  <c r="K35"/>
  <c r="J35"/>
  <c r="I35"/>
  <c r="H35"/>
  <c r="G35"/>
  <c r="F35"/>
  <c r="E35"/>
  <c r="P25"/>
  <c r="O25"/>
  <c r="N25"/>
  <c r="M25"/>
  <c r="L25"/>
  <c r="K25"/>
  <c r="J25"/>
  <c r="I25"/>
  <c r="H25"/>
  <c r="G25"/>
  <c r="F25"/>
  <c r="E25"/>
  <c r="P24"/>
  <c r="O24"/>
  <c r="N24"/>
  <c r="M24"/>
  <c r="L24"/>
  <c r="K24"/>
  <c r="J24"/>
  <c r="I24"/>
  <c r="H24"/>
  <c r="G24"/>
  <c r="F24"/>
  <c r="E24"/>
  <c r="P23"/>
  <c r="O23"/>
  <c r="N23"/>
  <c r="M23"/>
  <c r="L23"/>
  <c r="K23"/>
  <c r="J23"/>
  <c r="I23"/>
  <c r="H23"/>
  <c r="G23"/>
  <c r="F23"/>
  <c r="E23"/>
  <c r="P22"/>
  <c r="O22"/>
  <c r="N22"/>
  <c r="M22"/>
  <c r="L22"/>
  <c r="K22"/>
  <c r="J22"/>
  <c r="I22"/>
  <c r="H22"/>
  <c r="G22"/>
  <c r="F22"/>
  <c r="E22"/>
  <c r="P21"/>
  <c r="O21"/>
  <c r="N21"/>
  <c r="M21"/>
  <c r="L21"/>
  <c r="K21"/>
  <c r="J21"/>
  <c r="I21"/>
  <c r="H21"/>
  <c r="G21"/>
  <c r="F21"/>
  <c r="E21"/>
  <c r="P20"/>
  <c r="O20"/>
  <c r="N20"/>
  <c r="M20"/>
  <c r="L20"/>
  <c r="K20"/>
  <c r="J20"/>
  <c r="I20"/>
  <c r="H20"/>
  <c r="G20"/>
  <c r="F20"/>
  <c r="E20"/>
  <c r="P19"/>
  <c r="O19"/>
  <c r="N19"/>
  <c r="M19"/>
  <c r="L19"/>
  <c r="K19"/>
  <c r="J19"/>
  <c r="I19"/>
  <c r="H19"/>
  <c r="G19"/>
  <c r="F19"/>
  <c r="E19"/>
  <c r="P18"/>
  <c r="O18"/>
  <c r="N18"/>
  <c r="M18"/>
  <c r="L18"/>
  <c r="K18"/>
  <c r="J18"/>
  <c r="I18"/>
  <c r="H18"/>
  <c r="G18"/>
  <c r="F18"/>
  <c r="E18"/>
  <c r="P17"/>
  <c r="O17"/>
  <c r="N17"/>
  <c r="M17"/>
  <c r="L17"/>
  <c r="K17"/>
  <c r="J17"/>
  <c r="I17"/>
  <c r="H17"/>
  <c r="G17"/>
  <c r="F17"/>
  <c r="E17"/>
  <c r="P16"/>
  <c r="O16"/>
  <c r="N16"/>
  <c r="M16"/>
  <c r="L16"/>
  <c r="K16"/>
  <c r="J16"/>
  <c r="I16"/>
  <c r="H16"/>
  <c r="G16"/>
  <c r="F16"/>
  <c r="E16"/>
  <c r="P15"/>
  <c r="O15"/>
  <c r="N15"/>
  <c r="M15"/>
  <c r="L15"/>
  <c r="K15"/>
  <c r="J15"/>
  <c r="I15"/>
  <c r="H15"/>
  <c r="G15"/>
  <c r="F15"/>
  <c r="E15"/>
  <c r="P14"/>
  <c r="O14"/>
  <c r="N14"/>
  <c r="M14"/>
  <c r="L14"/>
  <c r="K14"/>
  <c r="J14"/>
  <c r="I14"/>
  <c r="H14"/>
  <c r="G14"/>
  <c r="F14"/>
  <c r="E14"/>
  <c r="P13"/>
  <c r="O13"/>
  <c r="N13"/>
  <c r="M13"/>
  <c r="L13"/>
  <c r="K13"/>
  <c r="J13"/>
  <c r="I13"/>
  <c r="H13"/>
  <c r="G13"/>
  <c r="F13"/>
  <c r="E13"/>
  <c r="R9"/>
  <c r="J26" i="2"/>
  <c r="I26"/>
  <c r="H26"/>
  <c r="G26"/>
  <c r="F26"/>
  <c r="E26"/>
  <c r="D26"/>
  <c r="J25"/>
  <c r="I25"/>
  <c r="H25"/>
  <c r="G25"/>
  <c r="F25"/>
  <c r="E25"/>
  <c r="D25"/>
  <c r="J24"/>
  <c r="I24"/>
  <c r="H24"/>
  <c r="G24"/>
  <c r="F24"/>
  <c r="E24"/>
  <c r="D24"/>
  <c r="J23"/>
  <c r="I23"/>
  <c r="H23"/>
  <c r="G23"/>
  <c r="F23"/>
  <c r="E23"/>
  <c r="D23"/>
  <c r="J22"/>
  <c r="I22"/>
  <c r="H22"/>
  <c r="G22"/>
  <c r="F22"/>
  <c r="E22"/>
  <c r="D22"/>
  <c r="J21"/>
  <c r="I21"/>
  <c r="H21"/>
  <c r="G21"/>
  <c r="F21"/>
  <c r="E21"/>
  <c r="D21"/>
  <c r="H14"/>
  <c r="G14"/>
  <c r="F14"/>
  <c r="E14"/>
  <c r="D14"/>
  <c r="H13"/>
  <c r="G13"/>
  <c r="F13"/>
  <c r="E13"/>
  <c r="D13"/>
  <c r="H12"/>
  <c r="G12"/>
  <c r="F12"/>
  <c r="E12"/>
  <c r="D12"/>
  <c r="H11"/>
  <c r="G11"/>
  <c r="F11"/>
  <c r="E11"/>
  <c r="D11"/>
  <c r="H10"/>
  <c r="G10"/>
  <c r="F10"/>
  <c r="E10"/>
  <c r="D10"/>
  <c r="H9"/>
  <c r="G9"/>
  <c r="F9"/>
  <c r="E9"/>
  <c r="D9"/>
  <c r="H74" i="15"/>
  <c r="I71"/>
  <c r="H71"/>
  <c r="I70"/>
  <c r="E70"/>
  <c r="I68"/>
  <c r="I67"/>
  <c r="H67"/>
  <c r="I66"/>
  <c r="H66"/>
  <c r="E66"/>
  <c r="I65"/>
  <c r="H65"/>
  <c r="I64"/>
  <c r="H64"/>
  <c r="E64"/>
  <c r="I63"/>
  <c r="H63"/>
  <c r="I62"/>
  <c r="H62"/>
  <c r="I61"/>
  <c r="H61"/>
  <c r="I60"/>
  <c r="H60"/>
  <c r="E60"/>
  <c r="Q57"/>
  <c r="K57"/>
  <c r="E57"/>
  <c r="Q56"/>
  <c r="P56"/>
  <c r="K56"/>
  <c r="J56"/>
  <c r="E56"/>
  <c r="D56"/>
  <c r="Q55"/>
  <c r="K55"/>
  <c r="E55"/>
  <c r="Q54"/>
  <c r="P54"/>
  <c r="K54"/>
  <c r="J54"/>
  <c r="E54"/>
  <c r="D54"/>
  <c r="Q53"/>
  <c r="P53"/>
  <c r="K53"/>
  <c r="J53"/>
  <c r="E53"/>
  <c r="D53"/>
  <c r="Q52"/>
  <c r="P52"/>
  <c r="K52"/>
  <c r="J52"/>
  <c r="E52"/>
  <c r="D52"/>
  <c r="Q51"/>
  <c r="P51"/>
  <c r="K51"/>
  <c r="J51"/>
  <c r="E51"/>
  <c r="D51"/>
  <c r="Q50"/>
  <c r="P50"/>
  <c r="K50"/>
  <c r="J50"/>
  <c r="E50"/>
  <c r="D50"/>
  <c r="Q49"/>
  <c r="P49"/>
  <c r="K49"/>
  <c r="J49"/>
  <c r="E49"/>
  <c r="D49"/>
  <c r="Q48"/>
  <c r="P48"/>
  <c r="K48"/>
  <c r="J48"/>
  <c r="E48"/>
  <c r="D48"/>
  <c r="M45"/>
  <c r="A45"/>
  <c r="M44"/>
  <c r="G44"/>
  <c r="A44"/>
  <c r="M43"/>
  <c r="G43"/>
  <c r="A43"/>
  <c r="M42"/>
  <c r="G42"/>
  <c r="A42"/>
  <c r="G41"/>
  <c r="A41"/>
  <c r="O40"/>
  <c r="O39"/>
  <c r="I39"/>
  <c r="C39"/>
  <c r="O38"/>
  <c r="I38"/>
  <c r="C38"/>
  <c r="O37"/>
  <c r="I37"/>
  <c r="C37"/>
  <c r="O36"/>
  <c r="I36"/>
  <c r="C36"/>
  <c r="O35"/>
  <c r="I35"/>
  <c r="C35"/>
  <c r="O34"/>
  <c r="I34"/>
  <c r="C34"/>
  <c r="O33"/>
  <c r="I33"/>
  <c r="C33"/>
  <c r="O32"/>
  <c r="I32"/>
  <c r="C32"/>
  <c r="W27"/>
  <c r="Q27"/>
  <c r="K27"/>
  <c r="E27"/>
  <c r="W26"/>
  <c r="Q26"/>
  <c r="K26"/>
  <c r="J26"/>
  <c r="E26"/>
  <c r="D26"/>
  <c r="W25"/>
  <c r="V25"/>
  <c r="Q25"/>
  <c r="P25"/>
  <c r="K25"/>
  <c r="J25"/>
  <c r="E25"/>
  <c r="D25"/>
  <c r="W24"/>
  <c r="V24"/>
  <c r="Q24"/>
  <c r="P24"/>
  <c r="K24"/>
  <c r="J24"/>
  <c r="E24"/>
  <c r="D24"/>
  <c r="W23"/>
  <c r="V23"/>
  <c r="Q23"/>
  <c r="P23"/>
  <c r="K23"/>
  <c r="J23"/>
  <c r="E23"/>
  <c r="D23"/>
  <c r="W22"/>
  <c r="V22"/>
  <c r="Q22"/>
  <c r="P22"/>
  <c r="K22"/>
  <c r="J22"/>
  <c r="E22"/>
  <c r="W21"/>
  <c r="V21"/>
  <c r="Q21"/>
  <c r="P21"/>
  <c r="S18"/>
  <c r="M18"/>
  <c r="G18"/>
  <c r="A18"/>
  <c r="S17"/>
  <c r="M17"/>
  <c r="G17"/>
  <c r="A17"/>
  <c r="S16"/>
  <c r="M16"/>
  <c r="G16"/>
  <c r="A16"/>
  <c r="S15"/>
  <c r="M15"/>
  <c r="G15"/>
  <c r="A15"/>
  <c r="U12"/>
  <c r="O12"/>
  <c r="I12"/>
  <c r="U11"/>
  <c r="O11"/>
  <c r="I11"/>
  <c r="C11"/>
  <c r="U10"/>
  <c r="O10"/>
  <c r="I10"/>
  <c r="C10"/>
  <c r="U9"/>
  <c r="O9"/>
  <c r="I9"/>
  <c r="C9"/>
  <c r="U8"/>
  <c r="O8"/>
  <c r="I8"/>
  <c r="C8"/>
  <c r="U7"/>
  <c r="O7"/>
  <c r="I7"/>
  <c r="C7"/>
  <c r="U6"/>
  <c r="O6"/>
  <c r="I6"/>
  <c r="C6"/>
  <c r="U5"/>
  <c r="O5"/>
  <c r="I5"/>
  <c r="C5"/>
  <c r="T189" i="14"/>
  <c r="S189"/>
  <c r="R189"/>
  <c r="Q189"/>
  <c r="P189"/>
  <c r="O189"/>
  <c r="N189"/>
  <c r="M189"/>
  <c r="L189"/>
  <c r="K189"/>
  <c r="J189"/>
  <c r="I189"/>
  <c r="H189"/>
  <c r="G189"/>
  <c r="F189"/>
  <c r="D189"/>
  <c r="T188"/>
  <c r="S188"/>
  <c r="R188"/>
  <c r="Q188"/>
  <c r="P188"/>
  <c r="O188"/>
  <c r="N188"/>
  <c r="M188"/>
  <c r="L188"/>
  <c r="K188"/>
  <c r="J188"/>
  <c r="I188"/>
  <c r="H188"/>
  <c r="G188"/>
  <c r="F188"/>
  <c r="D188"/>
  <c r="T187"/>
  <c r="S187"/>
  <c r="R187"/>
  <c r="Q187"/>
  <c r="P187"/>
  <c r="O187"/>
  <c r="N187"/>
  <c r="M187"/>
  <c r="L187"/>
  <c r="K187"/>
  <c r="J187"/>
  <c r="I187"/>
  <c r="H187"/>
  <c r="G187"/>
  <c r="F187"/>
  <c r="D187"/>
  <c r="T186"/>
  <c r="S186"/>
  <c r="R186"/>
  <c r="Q186"/>
  <c r="P186"/>
  <c r="O186"/>
  <c r="N186"/>
  <c r="M186"/>
  <c r="L186"/>
  <c r="K186"/>
  <c r="J186"/>
  <c r="I186"/>
  <c r="H186"/>
  <c r="G186"/>
  <c r="F186"/>
  <c r="D186"/>
  <c r="T185"/>
  <c r="S185"/>
  <c r="R185"/>
  <c r="Q185"/>
  <c r="P185"/>
  <c r="O185"/>
  <c r="N185"/>
  <c r="M185"/>
  <c r="L185"/>
  <c r="K185"/>
  <c r="J185"/>
  <c r="I185"/>
  <c r="H185"/>
  <c r="G185"/>
  <c r="F185"/>
  <c r="D185"/>
  <c r="T184"/>
  <c r="S184"/>
  <c r="R184"/>
  <c r="Q184"/>
  <c r="P184"/>
  <c r="O184"/>
  <c r="N184"/>
  <c r="M184"/>
  <c r="L184"/>
  <c r="K184"/>
  <c r="J184"/>
  <c r="I184"/>
  <c r="H184"/>
  <c r="G184"/>
  <c r="F184"/>
  <c r="D184"/>
  <c r="T183"/>
  <c r="S183"/>
  <c r="R183"/>
  <c r="Q183"/>
  <c r="P183"/>
  <c r="O183"/>
  <c r="N183"/>
  <c r="M183"/>
  <c r="L183"/>
  <c r="K183"/>
  <c r="J183"/>
  <c r="I183"/>
  <c r="H183"/>
  <c r="G183"/>
  <c r="F183"/>
  <c r="D183"/>
  <c r="T182"/>
  <c r="S182"/>
  <c r="R182"/>
  <c r="Q182"/>
  <c r="P182"/>
  <c r="O182"/>
  <c r="N182"/>
  <c r="M182"/>
  <c r="L182"/>
  <c r="K182"/>
  <c r="J182"/>
  <c r="I182"/>
  <c r="H182"/>
  <c r="G182"/>
  <c r="F182"/>
  <c r="D182"/>
  <c r="T181"/>
  <c r="S181"/>
  <c r="R181"/>
  <c r="Q181"/>
  <c r="P181"/>
  <c r="O181"/>
  <c r="N181"/>
  <c r="M181"/>
  <c r="L181"/>
  <c r="K181"/>
  <c r="J181"/>
  <c r="I181"/>
  <c r="H181"/>
  <c r="G181"/>
  <c r="F181"/>
  <c r="D181"/>
  <c r="T180"/>
  <c r="S180"/>
  <c r="R180"/>
  <c r="Q180"/>
  <c r="P180"/>
  <c r="O180"/>
  <c r="N180"/>
  <c r="M180"/>
  <c r="L180"/>
  <c r="K180"/>
  <c r="J180"/>
  <c r="I180"/>
  <c r="H180"/>
  <c r="G180"/>
  <c r="F180"/>
  <c r="D180"/>
  <c r="T179"/>
  <c r="S179"/>
  <c r="R179"/>
  <c r="Q179"/>
  <c r="P179"/>
  <c r="O179"/>
  <c r="N179"/>
  <c r="M179"/>
  <c r="L179"/>
  <c r="K179"/>
  <c r="J179"/>
  <c r="I179"/>
  <c r="H179"/>
  <c r="G179"/>
  <c r="F179"/>
  <c r="D179"/>
  <c r="T178"/>
  <c r="S178"/>
  <c r="R178"/>
  <c r="Q178"/>
  <c r="P178"/>
  <c r="O178"/>
  <c r="N178"/>
  <c r="M178"/>
  <c r="L178"/>
  <c r="K178"/>
  <c r="J178"/>
  <c r="I178"/>
  <c r="H178"/>
  <c r="G178"/>
  <c r="F178"/>
  <c r="D178"/>
  <c r="T177"/>
  <c r="S177"/>
  <c r="R177"/>
  <c r="Q177"/>
  <c r="P177"/>
  <c r="O177"/>
  <c r="N177"/>
  <c r="M177"/>
  <c r="L177"/>
  <c r="K177"/>
  <c r="J177"/>
  <c r="I177"/>
  <c r="H177"/>
  <c r="G177"/>
  <c r="F177"/>
  <c r="D177"/>
  <c r="T176"/>
  <c r="S176"/>
  <c r="R176"/>
  <c r="Q176"/>
  <c r="P176"/>
  <c r="O176"/>
  <c r="N176"/>
  <c r="M176"/>
  <c r="L176"/>
  <c r="K176"/>
  <c r="J176"/>
  <c r="I176"/>
  <c r="H176"/>
  <c r="G176"/>
  <c r="F176"/>
  <c r="D176"/>
  <c r="T175"/>
  <c r="S175"/>
  <c r="R175"/>
  <c r="Q175"/>
  <c r="P175"/>
  <c r="O175"/>
  <c r="N175"/>
  <c r="M175"/>
  <c r="L175"/>
  <c r="K175"/>
  <c r="J175"/>
  <c r="I175"/>
  <c r="H175"/>
  <c r="G175"/>
  <c r="F175"/>
  <c r="D175"/>
  <c r="T174"/>
  <c r="S174"/>
  <c r="R174"/>
  <c r="Q174"/>
  <c r="P174"/>
  <c r="O174"/>
  <c r="N174"/>
  <c r="M174"/>
  <c r="L174"/>
  <c r="K174"/>
  <c r="J174"/>
  <c r="I174"/>
  <c r="H174"/>
  <c r="G174"/>
  <c r="F174"/>
  <c r="D174"/>
  <c r="T173"/>
  <c r="S173"/>
  <c r="R173"/>
  <c r="Q173"/>
  <c r="P173"/>
  <c r="O173"/>
  <c r="N173"/>
  <c r="M173"/>
  <c r="L173"/>
  <c r="K173"/>
  <c r="J173"/>
  <c r="I173"/>
  <c r="H173"/>
  <c r="G173"/>
  <c r="F173"/>
  <c r="D173"/>
  <c r="T172"/>
  <c r="S172"/>
  <c r="R172"/>
  <c r="Q172"/>
  <c r="P172"/>
  <c r="O172"/>
  <c r="N172"/>
  <c r="M172"/>
  <c r="L172"/>
  <c r="K172"/>
  <c r="J172"/>
  <c r="I172"/>
  <c r="H172"/>
  <c r="G172"/>
  <c r="F172"/>
  <c r="D172"/>
  <c r="T171"/>
  <c r="S171"/>
  <c r="R171"/>
  <c r="Q171"/>
  <c r="P171"/>
  <c r="O171"/>
  <c r="N171"/>
  <c r="M171"/>
  <c r="L171"/>
  <c r="K171"/>
  <c r="J171"/>
  <c r="I171"/>
  <c r="H171"/>
  <c r="G171"/>
  <c r="F171"/>
  <c r="D171"/>
  <c r="T170"/>
  <c r="S170"/>
  <c r="R170"/>
  <c r="Q170"/>
  <c r="P170"/>
  <c r="O170"/>
  <c r="N170"/>
  <c r="M170"/>
  <c r="L170"/>
  <c r="K170"/>
  <c r="J170"/>
  <c r="I170"/>
  <c r="H170"/>
  <c r="G170"/>
  <c r="F170"/>
  <c r="D170"/>
  <c r="T169"/>
  <c r="S169"/>
  <c r="R169"/>
  <c r="Q169"/>
  <c r="P169"/>
  <c r="O169"/>
  <c r="N169"/>
  <c r="M169"/>
  <c r="L169"/>
  <c r="K169"/>
  <c r="J169"/>
  <c r="I169"/>
  <c r="H169"/>
  <c r="G169"/>
  <c r="F169"/>
  <c r="D169"/>
  <c r="T168"/>
  <c r="S168"/>
  <c r="R168"/>
  <c r="Q168"/>
  <c r="P168"/>
  <c r="O168"/>
  <c r="N168"/>
  <c r="M168"/>
  <c r="L168"/>
  <c r="K168"/>
  <c r="J168"/>
  <c r="I168"/>
  <c r="H168"/>
  <c r="G168"/>
  <c r="F168"/>
  <c r="D168"/>
  <c r="T167"/>
  <c r="S167"/>
  <c r="R167"/>
  <c r="Q167"/>
  <c r="P167"/>
  <c r="O167"/>
  <c r="N167"/>
  <c r="M167"/>
  <c r="L167"/>
  <c r="K167"/>
  <c r="J167"/>
  <c r="I167"/>
  <c r="H167"/>
  <c r="G167"/>
  <c r="F167"/>
  <c r="D167"/>
  <c r="T166"/>
  <c r="S166"/>
  <c r="R166"/>
  <c r="Q166"/>
  <c r="P166"/>
  <c r="O166"/>
  <c r="N166"/>
  <c r="M166"/>
  <c r="L166"/>
  <c r="K166"/>
  <c r="J166"/>
  <c r="I166"/>
  <c r="H166"/>
  <c r="G166"/>
  <c r="F166"/>
  <c r="D166"/>
  <c r="T165"/>
  <c r="S165"/>
  <c r="R165"/>
  <c r="Q165"/>
  <c r="P165"/>
  <c r="O165"/>
  <c r="N165"/>
  <c r="M165"/>
  <c r="L165"/>
  <c r="K165"/>
  <c r="J165"/>
  <c r="I165"/>
  <c r="H165"/>
  <c r="G165"/>
  <c r="F165"/>
  <c r="D165"/>
  <c r="T164"/>
  <c r="S164"/>
  <c r="R164"/>
  <c r="Q164"/>
  <c r="P164"/>
  <c r="O164"/>
  <c r="N164"/>
  <c r="M164"/>
  <c r="L164"/>
  <c r="K164"/>
  <c r="J164"/>
  <c r="I164"/>
  <c r="H164"/>
  <c r="G164"/>
  <c r="F164"/>
  <c r="D164"/>
  <c r="T163"/>
  <c r="S163"/>
  <c r="R163"/>
  <c r="Q163"/>
  <c r="P163"/>
  <c r="O163"/>
  <c r="N163"/>
  <c r="M163"/>
  <c r="L163"/>
  <c r="K163"/>
  <c r="J163"/>
  <c r="I163"/>
  <c r="H163"/>
  <c r="G163"/>
  <c r="F163"/>
  <c r="D163"/>
  <c r="T162"/>
  <c r="S162"/>
  <c r="R162"/>
  <c r="Q162"/>
  <c r="P162"/>
  <c r="O162"/>
  <c r="N162"/>
  <c r="M162"/>
  <c r="L162"/>
  <c r="K162"/>
  <c r="J162"/>
  <c r="I162"/>
  <c r="H162"/>
  <c r="G162"/>
  <c r="F162"/>
  <c r="D162"/>
  <c r="T161"/>
  <c r="S161"/>
  <c r="R161"/>
  <c r="Q161"/>
  <c r="P161"/>
  <c r="O161"/>
  <c r="N161"/>
  <c r="M161"/>
  <c r="L161"/>
  <c r="K161"/>
  <c r="J161"/>
  <c r="I161"/>
  <c r="H161"/>
  <c r="G161"/>
  <c r="F161"/>
  <c r="D161"/>
  <c r="T160"/>
  <c r="S160"/>
  <c r="R160"/>
  <c r="Q160"/>
  <c r="P160"/>
  <c r="O160"/>
  <c r="N160"/>
  <c r="M160"/>
  <c r="L160"/>
  <c r="K160"/>
  <c r="J160"/>
  <c r="I160"/>
  <c r="H160"/>
  <c r="G160"/>
  <c r="F160"/>
  <c r="D160"/>
  <c r="T159"/>
  <c r="S159"/>
  <c r="R159"/>
  <c r="Q159"/>
  <c r="P159"/>
  <c r="O159"/>
  <c r="N159"/>
  <c r="M159"/>
  <c r="L159"/>
  <c r="K159"/>
  <c r="J159"/>
  <c r="I159"/>
  <c r="H159"/>
  <c r="G159"/>
  <c r="F159"/>
  <c r="D159"/>
  <c r="T158"/>
  <c r="S158"/>
  <c r="R158"/>
  <c r="Q158"/>
  <c r="P158"/>
  <c r="O158"/>
  <c r="N158"/>
  <c r="M158"/>
  <c r="L158"/>
  <c r="K158"/>
  <c r="J158"/>
  <c r="I158"/>
  <c r="H158"/>
  <c r="G158"/>
  <c r="F158"/>
  <c r="D158"/>
  <c r="T157"/>
  <c r="S157"/>
  <c r="R157"/>
  <c r="Q157"/>
  <c r="P157"/>
  <c r="O157"/>
  <c r="N157"/>
  <c r="M157"/>
  <c r="L157"/>
  <c r="K157"/>
  <c r="J157"/>
  <c r="I157"/>
  <c r="H157"/>
  <c r="G157"/>
  <c r="F157"/>
  <c r="D157"/>
  <c r="T156"/>
  <c r="S156"/>
  <c r="R156"/>
  <c r="Q156"/>
  <c r="P156"/>
  <c r="O156"/>
  <c r="N156"/>
  <c r="M156"/>
  <c r="L156"/>
  <c r="K156"/>
  <c r="J156"/>
  <c r="I156"/>
  <c r="H156"/>
  <c r="G156"/>
  <c r="F156"/>
  <c r="D156"/>
  <c r="T155"/>
  <c r="S155"/>
  <c r="R155"/>
  <c r="Q155"/>
  <c r="P155"/>
  <c r="O155"/>
  <c r="N155"/>
  <c r="M155"/>
  <c r="L155"/>
  <c r="K155"/>
  <c r="J155"/>
  <c r="I155"/>
  <c r="H155"/>
  <c r="G155"/>
  <c r="F155"/>
  <c r="D155"/>
  <c r="T154"/>
  <c r="S154"/>
  <c r="R154"/>
  <c r="Q154"/>
  <c r="P154"/>
  <c r="O154"/>
  <c r="N154"/>
  <c r="M154"/>
  <c r="L154"/>
  <c r="K154"/>
  <c r="J154"/>
  <c r="I154"/>
  <c r="H154"/>
  <c r="G154"/>
  <c r="F154"/>
  <c r="D154"/>
  <c r="T153"/>
  <c r="S153"/>
  <c r="R153"/>
  <c r="Q153"/>
  <c r="P153"/>
  <c r="O153"/>
  <c r="N153"/>
  <c r="M153"/>
  <c r="L153"/>
  <c r="K153"/>
  <c r="J153"/>
  <c r="I153"/>
  <c r="H153"/>
  <c r="G153"/>
  <c r="F153"/>
  <c r="D153"/>
  <c r="T152"/>
  <c r="S152"/>
  <c r="R152"/>
  <c r="Q152"/>
  <c r="P152"/>
  <c r="O152"/>
  <c r="N152"/>
  <c r="M152"/>
  <c r="L152"/>
  <c r="K152"/>
  <c r="J152"/>
  <c r="I152"/>
  <c r="H152"/>
  <c r="G152"/>
  <c r="F152"/>
  <c r="D152"/>
  <c r="T151"/>
  <c r="S151"/>
  <c r="R151"/>
  <c r="Q151"/>
  <c r="P151"/>
  <c r="O151"/>
  <c r="N151"/>
  <c r="M151"/>
  <c r="L151"/>
  <c r="K151"/>
  <c r="J151"/>
  <c r="I151"/>
  <c r="H151"/>
  <c r="G151"/>
  <c r="F151"/>
  <c r="D151"/>
  <c r="T150"/>
  <c r="S150"/>
  <c r="R150"/>
  <c r="Q150"/>
  <c r="P150"/>
  <c r="O150"/>
  <c r="N150"/>
  <c r="M150"/>
  <c r="L150"/>
  <c r="K150"/>
  <c r="J150"/>
  <c r="I150"/>
  <c r="H150"/>
  <c r="G150"/>
  <c r="F150"/>
  <c r="D150"/>
  <c r="T149"/>
  <c r="S149"/>
  <c r="R149"/>
  <c r="Q149"/>
  <c r="P149"/>
  <c r="O149"/>
  <c r="N149"/>
  <c r="M149"/>
  <c r="L149"/>
  <c r="K149"/>
  <c r="J149"/>
  <c r="I149"/>
  <c r="H149"/>
  <c r="G149"/>
  <c r="F149"/>
  <c r="D149"/>
  <c r="T148"/>
  <c r="S148"/>
  <c r="R148"/>
  <c r="Q148"/>
  <c r="P148"/>
  <c r="O148"/>
  <c r="N148"/>
  <c r="M148"/>
  <c r="L148"/>
  <c r="K148"/>
  <c r="J148"/>
  <c r="I148"/>
  <c r="H148"/>
  <c r="G148"/>
  <c r="F148"/>
  <c r="D148"/>
  <c r="T147"/>
  <c r="S147"/>
  <c r="R147"/>
  <c r="Q147"/>
  <c r="P147"/>
  <c r="O147"/>
  <c r="N147"/>
  <c r="M147"/>
  <c r="L147"/>
  <c r="K147"/>
  <c r="J147"/>
  <c r="I147"/>
  <c r="H147"/>
  <c r="G147"/>
  <c r="F147"/>
  <c r="D147"/>
  <c r="T146"/>
  <c r="S146"/>
  <c r="R146"/>
  <c r="Q146"/>
  <c r="P146"/>
  <c r="O146"/>
  <c r="N146"/>
  <c r="M146"/>
  <c r="L146"/>
  <c r="K146"/>
  <c r="J146"/>
  <c r="I146"/>
  <c r="H146"/>
  <c r="G146"/>
  <c r="F146"/>
  <c r="D146"/>
  <c r="T145"/>
  <c r="S145"/>
  <c r="R145"/>
  <c r="Q145"/>
  <c r="P145"/>
  <c r="O145"/>
  <c r="N145"/>
  <c r="M145"/>
  <c r="L145"/>
  <c r="K145"/>
  <c r="J145"/>
  <c r="I145"/>
  <c r="H145"/>
  <c r="G145"/>
  <c r="F145"/>
  <c r="D145"/>
  <c r="T144"/>
  <c r="S144"/>
  <c r="R144"/>
  <c r="Q144"/>
  <c r="P144"/>
  <c r="O144"/>
  <c r="N144"/>
  <c r="M144"/>
  <c r="L144"/>
  <c r="K144"/>
  <c r="J144"/>
  <c r="I144"/>
  <c r="H144"/>
  <c r="G144"/>
  <c r="F144"/>
  <c r="D144"/>
  <c r="T143"/>
  <c r="S143"/>
  <c r="R143"/>
  <c r="Q143"/>
  <c r="P143"/>
  <c r="O143"/>
  <c r="N143"/>
  <c r="M143"/>
  <c r="L143"/>
  <c r="K143"/>
  <c r="J143"/>
  <c r="I143"/>
  <c r="H143"/>
  <c r="G143"/>
  <c r="F143"/>
  <c r="D143"/>
  <c r="T142"/>
  <c r="S142"/>
  <c r="R142"/>
  <c r="Q142"/>
  <c r="P142"/>
  <c r="O142"/>
  <c r="N142"/>
  <c r="M142"/>
  <c r="L142"/>
  <c r="K142"/>
  <c r="J142"/>
  <c r="I142"/>
  <c r="H142"/>
  <c r="G142"/>
  <c r="F142"/>
  <c r="D142"/>
  <c r="T141"/>
  <c r="S141"/>
  <c r="R141"/>
  <c r="Q141"/>
  <c r="P141"/>
  <c r="O141"/>
  <c r="N141"/>
  <c r="M141"/>
  <c r="L141"/>
  <c r="K141"/>
  <c r="J141"/>
  <c r="I141"/>
  <c r="H141"/>
  <c r="G141"/>
  <c r="F141"/>
  <c r="D141"/>
  <c r="T140"/>
  <c r="S140"/>
  <c r="R140"/>
  <c r="Q140"/>
  <c r="P140"/>
  <c r="O140"/>
  <c r="N140"/>
  <c r="M140"/>
  <c r="L140"/>
  <c r="K140"/>
  <c r="J140"/>
  <c r="I140"/>
  <c r="H140"/>
  <c r="G140"/>
  <c r="F140"/>
  <c r="D140"/>
  <c r="T139"/>
  <c r="S139"/>
  <c r="R139"/>
  <c r="Q139"/>
  <c r="P139"/>
  <c r="O139"/>
  <c r="N139"/>
  <c r="M139"/>
  <c r="L139"/>
  <c r="K139"/>
  <c r="J139"/>
  <c r="I139"/>
  <c r="H139"/>
  <c r="G139"/>
  <c r="F139"/>
  <c r="D139"/>
  <c r="T138"/>
  <c r="S138"/>
  <c r="R138"/>
  <c r="Q138"/>
  <c r="P138"/>
  <c r="O138"/>
  <c r="N138"/>
  <c r="M138"/>
  <c r="L138"/>
  <c r="K138"/>
  <c r="J138"/>
  <c r="I138"/>
  <c r="H138"/>
  <c r="G138"/>
  <c r="F138"/>
  <c r="D138"/>
  <c r="T137"/>
  <c r="S137"/>
  <c r="R137"/>
  <c r="Q137"/>
  <c r="P137"/>
  <c r="O137"/>
  <c r="N137"/>
  <c r="M137"/>
  <c r="L137"/>
  <c r="K137"/>
  <c r="J137"/>
  <c r="I137"/>
  <c r="H137"/>
  <c r="G137"/>
  <c r="F137"/>
  <c r="D137"/>
  <c r="T136"/>
  <c r="S136"/>
  <c r="R136"/>
  <c r="Q136"/>
  <c r="P136"/>
  <c r="O136"/>
  <c r="N136"/>
  <c r="M136"/>
  <c r="L136"/>
  <c r="K136"/>
  <c r="J136"/>
  <c r="I136"/>
  <c r="H136"/>
  <c r="G136"/>
  <c r="F136"/>
  <c r="D136"/>
  <c r="T135"/>
  <c r="S135"/>
  <c r="R135"/>
  <c r="Q135"/>
  <c r="P135"/>
  <c r="O135"/>
  <c r="N135"/>
  <c r="M135"/>
  <c r="L135"/>
  <c r="K135"/>
  <c r="J135"/>
  <c r="I135"/>
  <c r="H135"/>
  <c r="G135"/>
  <c r="F135"/>
  <c r="D135"/>
  <c r="T134"/>
  <c r="S134"/>
  <c r="R134"/>
  <c r="Q134"/>
  <c r="P134"/>
  <c r="O134"/>
  <c r="N134"/>
  <c r="M134"/>
  <c r="L134"/>
  <c r="K134"/>
  <c r="J134"/>
  <c r="I134"/>
  <c r="H134"/>
  <c r="G134"/>
  <c r="F134"/>
  <c r="D134"/>
  <c r="T133"/>
  <c r="S133"/>
  <c r="R133"/>
  <c r="Q133"/>
  <c r="P133"/>
  <c r="O133"/>
  <c r="N133"/>
  <c r="M133"/>
  <c r="L133"/>
  <c r="K133"/>
  <c r="J133"/>
  <c r="I133"/>
  <c r="H133"/>
  <c r="G133"/>
  <c r="F133"/>
  <c r="D133"/>
  <c r="T132"/>
  <c r="S132"/>
  <c r="R132"/>
  <c r="Q132"/>
  <c r="P132"/>
  <c r="O132"/>
  <c r="N132"/>
  <c r="M132"/>
  <c r="L132"/>
  <c r="K132"/>
  <c r="J132"/>
  <c r="I132"/>
  <c r="H132"/>
  <c r="G132"/>
  <c r="F132"/>
  <c r="D132"/>
  <c r="T131"/>
  <c r="S131"/>
  <c r="R131"/>
  <c r="Q131"/>
  <c r="P131"/>
  <c r="O131"/>
  <c r="N131"/>
  <c r="M131"/>
  <c r="L131"/>
  <c r="K131"/>
  <c r="J131"/>
  <c r="I131"/>
  <c r="H131"/>
  <c r="G131"/>
  <c r="F131"/>
  <c r="D131"/>
  <c r="T130"/>
  <c r="S130"/>
  <c r="R130"/>
  <c r="Q130"/>
  <c r="P130"/>
  <c r="O130"/>
  <c r="N130"/>
  <c r="M130"/>
  <c r="L130"/>
  <c r="K130"/>
  <c r="J130"/>
  <c r="I130"/>
  <c r="H130"/>
  <c r="G130"/>
  <c r="F130"/>
  <c r="D130"/>
  <c r="T129"/>
  <c r="S129"/>
  <c r="R129"/>
  <c r="Q129"/>
  <c r="P129"/>
  <c r="O129"/>
  <c r="N129"/>
  <c r="M129"/>
  <c r="L129"/>
  <c r="K129"/>
  <c r="J129"/>
  <c r="I129"/>
  <c r="H129"/>
  <c r="G129"/>
  <c r="F129"/>
  <c r="D129"/>
  <c r="T128"/>
  <c r="S128"/>
  <c r="R128"/>
  <c r="Q128"/>
  <c r="P128"/>
  <c r="O128"/>
  <c r="N128"/>
  <c r="M128"/>
  <c r="L128"/>
  <c r="K128"/>
  <c r="J128"/>
  <c r="I128"/>
  <c r="H128"/>
  <c r="G128"/>
  <c r="F128"/>
  <c r="D128"/>
  <c r="T127"/>
  <c r="S127"/>
  <c r="R127"/>
  <c r="Q127"/>
  <c r="P127"/>
  <c r="O127"/>
  <c r="N127"/>
  <c r="M127"/>
  <c r="L127"/>
  <c r="K127"/>
  <c r="J127"/>
  <c r="I127"/>
  <c r="H127"/>
  <c r="G127"/>
  <c r="F127"/>
  <c r="D127"/>
  <c r="T126"/>
  <c r="S126"/>
  <c r="R126"/>
  <c r="Q126"/>
  <c r="P126"/>
  <c r="O126"/>
  <c r="N126"/>
  <c r="M126"/>
  <c r="L126"/>
  <c r="K126"/>
  <c r="J126"/>
  <c r="I126"/>
  <c r="H126"/>
  <c r="G126"/>
  <c r="F126"/>
  <c r="D126"/>
  <c r="T125"/>
  <c r="S125"/>
  <c r="R125"/>
  <c r="Q125"/>
  <c r="P125"/>
  <c r="O125"/>
  <c r="N125"/>
  <c r="M125"/>
  <c r="L125"/>
  <c r="K125"/>
  <c r="J125"/>
  <c r="I125"/>
  <c r="H125"/>
  <c r="G125"/>
  <c r="F125"/>
  <c r="D125"/>
  <c r="T124"/>
  <c r="S124"/>
  <c r="R124"/>
  <c r="Q124"/>
  <c r="P124"/>
  <c r="O124"/>
  <c r="N124"/>
  <c r="M124"/>
  <c r="L124"/>
  <c r="K124"/>
  <c r="J124"/>
  <c r="I124"/>
  <c r="H124"/>
  <c r="G124"/>
  <c r="F124"/>
  <c r="D124"/>
  <c r="T123"/>
  <c r="S123"/>
  <c r="R123"/>
  <c r="Q123"/>
  <c r="P123"/>
  <c r="O123"/>
  <c r="N123"/>
  <c r="M123"/>
  <c r="L123"/>
  <c r="K123"/>
  <c r="J123"/>
  <c r="I123"/>
  <c r="H123"/>
  <c r="G123"/>
  <c r="F123"/>
  <c r="D123"/>
  <c r="T122"/>
  <c r="S122"/>
  <c r="R122"/>
  <c r="Q122"/>
  <c r="P122"/>
  <c r="O122"/>
  <c r="N122"/>
  <c r="M122"/>
  <c r="L122"/>
  <c r="K122"/>
  <c r="J122"/>
  <c r="I122"/>
  <c r="H122"/>
  <c r="G122"/>
  <c r="F122"/>
  <c r="D122"/>
  <c r="T121"/>
  <c r="S121"/>
  <c r="R121"/>
  <c r="Q121"/>
  <c r="P121"/>
  <c r="O121"/>
  <c r="N121"/>
  <c r="M121"/>
  <c r="L121"/>
  <c r="K121"/>
  <c r="J121"/>
  <c r="I121"/>
  <c r="H121"/>
  <c r="G121"/>
  <c r="F121"/>
  <c r="D121"/>
  <c r="T120"/>
  <c r="S120"/>
  <c r="R120"/>
  <c r="Q120"/>
  <c r="P120"/>
  <c r="O120"/>
  <c r="N120"/>
  <c r="M120"/>
  <c r="L120"/>
  <c r="K120"/>
  <c r="J120"/>
  <c r="I120"/>
  <c r="H120"/>
  <c r="G120"/>
  <c r="F120"/>
  <c r="D120"/>
  <c r="T119"/>
  <c r="S119"/>
  <c r="R119"/>
  <c r="Q119"/>
  <c r="P119"/>
  <c r="O119"/>
  <c r="N119"/>
  <c r="M119"/>
  <c r="L119"/>
  <c r="K119"/>
  <c r="J119"/>
  <c r="I119"/>
  <c r="H119"/>
  <c r="G119"/>
  <c r="F119"/>
  <c r="D119"/>
  <c r="T118"/>
  <c r="S118"/>
  <c r="R118"/>
  <c r="Q118"/>
  <c r="P118"/>
  <c r="O118"/>
  <c r="N118"/>
  <c r="M118"/>
  <c r="L118"/>
  <c r="K118"/>
  <c r="J118"/>
  <c r="I118"/>
  <c r="H118"/>
  <c r="G118"/>
  <c r="F118"/>
  <c r="D118"/>
  <c r="T117"/>
  <c r="S117"/>
  <c r="R117"/>
  <c r="Q117"/>
  <c r="P117"/>
  <c r="O117"/>
  <c r="N117"/>
  <c r="M117"/>
  <c r="L117"/>
  <c r="K117"/>
  <c r="J117"/>
  <c r="I117"/>
  <c r="H117"/>
  <c r="G117"/>
  <c r="F117"/>
  <c r="D117"/>
  <c r="T116"/>
  <c r="S116"/>
  <c r="R116"/>
  <c r="Q116"/>
  <c r="P116"/>
  <c r="O116"/>
  <c r="N116"/>
  <c r="M116"/>
  <c r="L116"/>
  <c r="K116"/>
  <c r="J116"/>
  <c r="I116"/>
  <c r="H116"/>
  <c r="G116"/>
  <c r="F116"/>
  <c r="D116"/>
  <c r="T115"/>
  <c r="S115"/>
  <c r="R115"/>
  <c r="Q115"/>
  <c r="P115"/>
  <c r="O115"/>
  <c r="N115"/>
  <c r="M115"/>
  <c r="L115"/>
  <c r="K115"/>
  <c r="J115"/>
  <c r="I115"/>
  <c r="H115"/>
  <c r="G115"/>
  <c r="F115"/>
  <c r="D115"/>
  <c r="T114"/>
  <c r="S114"/>
  <c r="R114"/>
  <c r="Q114"/>
  <c r="P114"/>
  <c r="O114"/>
  <c r="N114"/>
  <c r="M114"/>
  <c r="L114"/>
  <c r="K114"/>
  <c r="J114"/>
  <c r="I114"/>
  <c r="H114"/>
  <c r="G114"/>
  <c r="F114"/>
  <c r="D114"/>
  <c r="T113"/>
  <c r="S113"/>
  <c r="R113"/>
  <c r="Q113"/>
  <c r="P113"/>
  <c r="O113"/>
  <c r="N113"/>
  <c r="M113"/>
  <c r="L113"/>
  <c r="K113"/>
  <c r="J113"/>
  <c r="I113"/>
  <c r="H113"/>
  <c r="G113"/>
  <c r="F113"/>
  <c r="D113"/>
  <c r="T112"/>
  <c r="S112"/>
  <c r="R112"/>
  <c r="Q112"/>
  <c r="P112"/>
  <c r="O112"/>
  <c r="N112"/>
  <c r="M112"/>
  <c r="L112"/>
  <c r="K112"/>
  <c r="J112"/>
  <c r="I112"/>
  <c r="H112"/>
  <c r="G112"/>
  <c r="F112"/>
  <c r="D112"/>
  <c r="T111"/>
  <c r="S111"/>
  <c r="R111"/>
  <c r="Q111"/>
  <c r="P111"/>
  <c r="O111"/>
  <c r="N111"/>
  <c r="M111"/>
  <c r="L111"/>
  <c r="K111"/>
  <c r="J111"/>
  <c r="I111"/>
  <c r="H111"/>
  <c r="G111"/>
  <c r="F111"/>
  <c r="D111"/>
  <c r="T110"/>
  <c r="S110"/>
  <c r="R110"/>
  <c r="Q110"/>
  <c r="P110"/>
  <c r="O110"/>
  <c r="N110"/>
  <c r="M110"/>
  <c r="L110"/>
  <c r="K110"/>
  <c r="J110"/>
  <c r="I110"/>
  <c r="H110"/>
  <c r="G110"/>
  <c r="F110"/>
  <c r="D110"/>
  <c r="T109"/>
  <c r="S109"/>
  <c r="R109"/>
  <c r="Q109"/>
  <c r="P109"/>
  <c r="O109"/>
  <c r="N109"/>
  <c r="M109"/>
  <c r="L109"/>
  <c r="K109"/>
  <c r="J109"/>
  <c r="I109"/>
  <c r="H109"/>
  <c r="G109"/>
  <c r="F109"/>
  <c r="D109"/>
  <c r="T108"/>
  <c r="S108"/>
  <c r="R108"/>
  <c r="Q108"/>
  <c r="P108"/>
  <c r="O108"/>
  <c r="N108"/>
  <c r="M108"/>
  <c r="L108"/>
  <c r="K108"/>
  <c r="J108"/>
  <c r="I108"/>
  <c r="H108"/>
  <c r="G108"/>
  <c r="F108"/>
  <c r="D108"/>
  <c r="T107"/>
  <c r="S107"/>
  <c r="R107"/>
  <c r="Q107"/>
  <c r="P107"/>
  <c r="O107"/>
  <c r="N107"/>
  <c r="M107"/>
  <c r="L107"/>
  <c r="K107"/>
  <c r="J107"/>
  <c r="I107"/>
  <c r="H107"/>
  <c r="G107"/>
  <c r="F107"/>
  <c r="D107"/>
  <c r="T106"/>
  <c r="S106"/>
  <c r="R106"/>
  <c r="Q106"/>
  <c r="P106"/>
  <c r="O106"/>
  <c r="N106"/>
  <c r="M106"/>
  <c r="L106"/>
  <c r="K106"/>
  <c r="J106"/>
  <c r="I106"/>
  <c r="H106"/>
  <c r="G106"/>
  <c r="F106"/>
  <c r="D106"/>
  <c r="T105"/>
  <c r="S105"/>
  <c r="R105"/>
  <c r="Q105"/>
  <c r="P105"/>
  <c r="O105"/>
  <c r="N105"/>
  <c r="M105"/>
  <c r="L105"/>
  <c r="K105"/>
  <c r="J105"/>
  <c r="I105"/>
  <c r="H105"/>
  <c r="G105"/>
  <c r="F105"/>
  <c r="D105"/>
  <c r="T104"/>
  <c r="S104"/>
  <c r="R104"/>
  <c r="Q104"/>
  <c r="P104"/>
  <c r="O104"/>
  <c r="N104"/>
  <c r="M104"/>
  <c r="L104"/>
  <c r="K104"/>
  <c r="J104"/>
  <c r="I104"/>
  <c r="H104"/>
  <c r="G104"/>
  <c r="F104"/>
  <c r="D104"/>
  <c r="T103"/>
  <c r="S103"/>
  <c r="R103"/>
  <c r="Q103"/>
  <c r="P103"/>
  <c r="O103"/>
  <c r="N103"/>
  <c r="M103"/>
  <c r="L103"/>
  <c r="K103"/>
  <c r="J103"/>
  <c r="I103"/>
  <c r="H103"/>
  <c r="G103"/>
  <c r="F103"/>
  <c r="D103"/>
  <c r="T102"/>
  <c r="S102"/>
  <c r="R102"/>
  <c r="Q102"/>
  <c r="P102"/>
  <c r="O102"/>
  <c r="N102"/>
  <c r="M102"/>
  <c r="L102"/>
  <c r="K102"/>
  <c r="J102"/>
  <c r="I102"/>
  <c r="H102"/>
  <c r="G102"/>
  <c r="F102"/>
  <c r="D102"/>
  <c r="T101"/>
  <c r="S101"/>
  <c r="R101"/>
  <c r="Q101"/>
  <c r="P101"/>
  <c r="O101"/>
  <c r="N101"/>
  <c r="M101"/>
  <c r="L101"/>
  <c r="K101"/>
  <c r="J101"/>
  <c r="I101"/>
  <c r="H101"/>
  <c r="G101"/>
  <c r="F101"/>
  <c r="D101"/>
  <c r="T100"/>
  <c r="S100"/>
  <c r="R100"/>
  <c r="Q100"/>
  <c r="P100"/>
  <c r="O100"/>
  <c r="N100"/>
  <c r="M100"/>
  <c r="L100"/>
  <c r="K100"/>
  <c r="J100"/>
  <c r="I100"/>
  <c r="H100"/>
  <c r="G100"/>
  <c r="F100"/>
  <c r="D100"/>
  <c r="T99"/>
  <c r="S99"/>
  <c r="R99"/>
  <c r="Q99"/>
  <c r="P99"/>
  <c r="O99"/>
  <c r="N99"/>
  <c r="M99"/>
  <c r="L99"/>
  <c r="K99"/>
  <c r="J99"/>
  <c r="I99"/>
  <c r="H99"/>
  <c r="G99"/>
  <c r="F99"/>
  <c r="D99"/>
  <c r="T98"/>
  <c r="S98"/>
  <c r="R98"/>
  <c r="Q98"/>
  <c r="P98"/>
  <c r="O98"/>
  <c r="N98"/>
  <c r="M98"/>
  <c r="L98"/>
  <c r="K98"/>
  <c r="J98"/>
  <c r="I98"/>
  <c r="H98"/>
  <c r="G98"/>
  <c r="F98"/>
  <c r="D98"/>
  <c r="T97"/>
  <c r="S97"/>
  <c r="R97"/>
  <c r="Q97"/>
  <c r="P97"/>
  <c r="O97"/>
  <c r="N97"/>
  <c r="M97"/>
  <c r="L97"/>
  <c r="K97"/>
  <c r="J97"/>
  <c r="I97"/>
  <c r="H97"/>
  <c r="G97"/>
  <c r="F97"/>
  <c r="D97"/>
  <c r="T96"/>
  <c r="S96"/>
  <c r="R96"/>
  <c r="Q96"/>
  <c r="P96"/>
  <c r="O96"/>
  <c r="N96"/>
  <c r="M96"/>
  <c r="L96"/>
  <c r="K96"/>
  <c r="J96"/>
  <c r="I96"/>
  <c r="H96"/>
  <c r="G96"/>
  <c r="F96"/>
  <c r="D96"/>
  <c r="T95"/>
  <c r="S95"/>
  <c r="R95"/>
  <c r="Q95"/>
  <c r="P95"/>
  <c r="O95"/>
  <c r="N95"/>
  <c r="M95"/>
  <c r="L95"/>
  <c r="K95"/>
  <c r="J95"/>
  <c r="I95"/>
  <c r="H95"/>
  <c r="G95"/>
  <c r="F95"/>
  <c r="D95"/>
  <c r="T94"/>
  <c r="S94"/>
  <c r="R94"/>
  <c r="Q94"/>
  <c r="P94"/>
  <c r="O94"/>
  <c r="N94"/>
  <c r="M94"/>
  <c r="L94"/>
  <c r="K94"/>
  <c r="J94"/>
  <c r="I94"/>
  <c r="H94"/>
  <c r="G94"/>
  <c r="F94"/>
  <c r="D94"/>
  <c r="T93"/>
  <c r="S93"/>
  <c r="R93"/>
  <c r="Q93"/>
  <c r="P93"/>
  <c r="O93"/>
  <c r="N93"/>
  <c r="M93"/>
  <c r="L93"/>
  <c r="K93"/>
  <c r="J93"/>
  <c r="I93"/>
  <c r="H93"/>
  <c r="G93"/>
  <c r="F93"/>
  <c r="D93"/>
  <c r="T92"/>
  <c r="S92"/>
  <c r="R92"/>
  <c r="Q92"/>
  <c r="P92"/>
  <c r="O92"/>
  <c r="N92"/>
  <c r="M92"/>
  <c r="L92"/>
  <c r="K92"/>
  <c r="J92"/>
  <c r="I92"/>
  <c r="H92"/>
  <c r="G92"/>
  <c r="F92"/>
  <c r="D92"/>
  <c r="T91"/>
  <c r="S91"/>
  <c r="R91"/>
  <c r="Q91"/>
  <c r="P91"/>
  <c r="O91"/>
  <c r="N91"/>
  <c r="M91"/>
  <c r="L91"/>
  <c r="K91"/>
  <c r="J91"/>
  <c r="I91"/>
  <c r="H91"/>
  <c r="G91"/>
  <c r="F91"/>
  <c r="D91"/>
  <c r="T90"/>
  <c r="S90"/>
  <c r="R90"/>
  <c r="Q90"/>
  <c r="P90"/>
  <c r="O90"/>
  <c r="N90"/>
  <c r="M90"/>
  <c r="L90"/>
  <c r="K90"/>
  <c r="J90"/>
  <c r="I90"/>
  <c r="H90"/>
  <c r="G90"/>
  <c r="F90"/>
  <c r="D90"/>
  <c r="T89"/>
  <c r="S89"/>
  <c r="R89"/>
  <c r="Q89"/>
  <c r="P89"/>
  <c r="O89"/>
  <c r="N89"/>
  <c r="M89"/>
  <c r="L89"/>
  <c r="K89"/>
  <c r="J89"/>
  <c r="I89"/>
  <c r="H89"/>
  <c r="G89"/>
  <c r="F89"/>
  <c r="D89"/>
  <c r="T88"/>
  <c r="S88"/>
  <c r="R88"/>
  <c r="Q88"/>
  <c r="P88"/>
  <c r="O88"/>
  <c r="N88"/>
  <c r="M88"/>
  <c r="L88"/>
  <c r="K88"/>
  <c r="J88"/>
  <c r="I88"/>
  <c r="H88"/>
  <c r="G88"/>
  <c r="F88"/>
  <c r="D88"/>
  <c r="T87"/>
  <c r="S87"/>
  <c r="R87"/>
  <c r="Q87"/>
  <c r="P87"/>
  <c r="O87"/>
  <c r="N87"/>
  <c r="M87"/>
  <c r="L87"/>
  <c r="K87"/>
  <c r="J87"/>
  <c r="I87"/>
  <c r="H87"/>
  <c r="G87"/>
  <c r="F87"/>
  <c r="D87"/>
  <c r="T86"/>
  <c r="S86"/>
  <c r="R86"/>
  <c r="Q86"/>
  <c r="P86"/>
  <c r="O86"/>
  <c r="N86"/>
  <c r="M86"/>
  <c r="L86"/>
  <c r="K86"/>
  <c r="J86"/>
  <c r="I86"/>
  <c r="H86"/>
  <c r="G86"/>
  <c r="F86"/>
  <c r="D86"/>
  <c r="T85"/>
  <c r="S85"/>
  <c r="R85"/>
  <c r="Q85"/>
  <c r="P85"/>
  <c r="O85"/>
  <c r="N85"/>
  <c r="M85"/>
  <c r="L85"/>
  <c r="K85"/>
  <c r="J85"/>
  <c r="I85"/>
  <c r="H85"/>
  <c r="G85"/>
  <c r="F85"/>
  <c r="D85"/>
  <c r="T84"/>
  <c r="S84"/>
  <c r="R84"/>
  <c r="Q84"/>
  <c r="P84"/>
  <c r="O84"/>
  <c r="N84"/>
  <c r="M84"/>
  <c r="L84"/>
  <c r="K84"/>
  <c r="J84"/>
  <c r="I84"/>
  <c r="H84"/>
  <c r="G84"/>
  <c r="F84"/>
  <c r="D84"/>
  <c r="T83"/>
  <c r="S83"/>
  <c r="R83"/>
  <c r="Q83"/>
  <c r="P83"/>
  <c r="O83"/>
  <c r="N83"/>
  <c r="M83"/>
  <c r="L83"/>
  <c r="K83"/>
  <c r="J83"/>
  <c r="I83"/>
  <c r="H83"/>
  <c r="G83"/>
  <c r="F83"/>
  <c r="D83"/>
  <c r="T82"/>
  <c r="S82"/>
  <c r="R82"/>
  <c r="Q82"/>
  <c r="P82"/>
  <c r="O82"/>
  <c r="N82"/>
  <c r="M82"/>
  <c r="L82"/>
  <c r="K82"/>
  <c r="J82"/>
  <c r="I82"/>
  <c r="H82"/>
  <c r="G82"/>
  <c r="F82"/>
  <c r="D82"/>
  <c r="T81"/>
  <c r="S81"/>
  <c r="R81"/>
  <c r="Q81"/>
  <c r="P81"/>
  <c r="O81"/>
  <c r="N81"/>
  <c r="M81"/>
  <c r="L81"/>
  <c r="K81"/>
  <c r="J81"/>
  <c r="I81"/>
  <c r="H81"/>
  <c r="G81"/>
  <c r="F81"/>
  <c r="D81"/>
  <c r="T80"/>
  <c r="S80"/>
  <c r="R80"/>
  <c r="Q80"/>
  <c r="P80"/>
  <c r="O80"/>
  <c r="N80"/>
  <c r="M80"/>
  <c r="L80"/>
  <c r="K80"/>
  <c r="J80"/>
  <c r="I80"/>
  <c r="H80"/>
  <c r="G80"/>
  <c r="F80"/>
  <c r="D80"/>
  <c r="I32"/>
  <c r="I35"/>
  <c r="Y67"/>
  <c r="Y71"/>
  <c r="Z79"/>
  <c r="Y79"/>
  <c r="X79"/>
  <c r="W79"/>
  <c r="T79"/>
  <c r="S79"/>
  <c r="R79"/>
  <c r="Q79"/>
  <c r="P79"/>
  <c r="O79"/>
  <c r="N79"/>
  <c r="M79"/>
  <c r="L79"/>
  <c r="K79"/>
  <c r="J79"/>
  <c r="I79"/>
  <c r="H79"/>
  <c r="G79"/>
  <c r="F79"/>
  <c r="D79"/>
  <c r="AB78"/>
  <c r="Z71"/>
  <c r="Z78"/>
  <c r="Y78"/>
  <c r="X78"/>
  <c r="W78"/>
  <c r="T78"/>
  <c r="S78"/>
  <c r="R78"/>
  <c r="Q78"/>
  <c r="P78"/>
  <c r="O78"/>
  <c r="N78"/>
  <c r="M78"/>
  <c r="L78"/>
  <c r="K78"/>
  <c r="J78"/>
  <c r="I78"/>
  <c r="H78"/>
  <c r="G78"/>
  <c r="F78"/>
  <c r="D78"/>
  <c r="Z67"/>
  <c r="AA71"/>
  <c r="Z77"/>
  <c r="Y77"/>
  <c r="X77"/>
  <c r="W77"/>
  <c r="T77"/>
  <c r="S77"/>
  <c r="R77"/>
  <c r="Q77"/>
  <c r="P77"/>
  <c r="O77"/>
  <c r="N77"/>
  <c r="M77"/>
  <c r="L77"/>
  <c r="K77"/>
  <c r="J77"/>
  <c r="I77"/>
  <c r="H77"/>
  <c r="G77"/>
  <c r="F77"/>
  <c r="D77"/>
  <c r="AB76"/>
  <c r="Z76"/>
  <c r="Y76"/>
  <c r="X76"/>
  <c r="W76"/>
  <c r="T76"/>
  <c r="S76"/>
  <c r="R76"/>
  <c r="Q76"/>
  <c r="P76"/>
  <c r="O76"/>
  <c r="N76"/>
  <c r="M76"/>
  <c r="L76"/>
  <c r="K76"/>
  <c r="J76"/>
  <c r="I76"/>
  <c r="H76"/>
  <c r="G76"/>
  <c r="F76"/>
  <c r="D76"/>
  <c r="AB75"/>
  <c r="T75"/>
  <c r="S75"/>
  <c r="R75"/>
  <c r="Q75"/>
  <c r="P75"/>
  <c r="O75"/>
  <c r="N75"/>
  <c r="M75"/>
  <c r="L75"/>
  <c r="K75"/>
  <c r="J75"/>
  <c r="I75"/>
  <c r="H75"/>
  <c r="G75"/>
  <c r="F75"/>
  <c r="D75"/>
  <c r="W74"/>
  <c r="T74"/>
  <c r="S74"/>
  <c r="R74"/>
  <c r="Q74"/>
  <c r="P74"/>
  <c r="O74"/>
  <c r="N74"/>
  <c r="M74"/>
  <c r="L74"/>
  <c r="K74"/>
  <c r="J74"/>
  <c r="I74"/>
  <c r="H74"/>
  <c r="G74"/>
  <c r="F74"/>
  <c r="D74"/>
  <c r="T73"/>
  <c r="S73"/>
  <c r="R73"/>
  <c r="Q73"/>
  <c r="P73"/>
  <c r="O73"/>
  <c r="N73"/>
  <c r="M73"/>
  <c r="L73"/>
  <c r="K73"/>
  <c r="J73"/>
  <c r="I73"/>
  <c r="H73"/>
  <c r="G73"/>
  <c r="F73"/>
  <c r="D73"/>
  <c r="Y72"/>
  <c r="T72"/>
  <c r="S72"/>
  <c r="R72"/>
  <c r="Q72"/>
  <c r="P72"/>
  <c r="O72"/>
  <c r="N72"/>
  <c r="M72"/>
  <c r="L72"/>
  <c r="K72"/>
  <c r="J72"/>
  <c r="I72"/>
  <c r="H72"/>
  <c r="G72"/>
  <c r="F72"/>
  <c r="D72"/>
  <c r="T71"/>
  <c r="S71"/>
  <c r="R71"/>
  <c r="Q71"/>
  <c r="P71"/>
  <c r="O71"/>
  <c r="N71"/>
  <c r="M71"/>
  <c r="L71"/>
  <c r="K71"/>
  <c r="J71"/>
  <c r="I71"/>
  <c r="H71"/>
  <c r="G71"/>
  <c r="F71"/>
  <c r="D71"/>
  <c r="T70"/>
  <c r="S70"/>
  <c r="R70"/>
  <c r="Q70"/>
  <c r="P70"/>
  <c r="O70"/>
  <c r="N70"/>
  <c r="M70"/>
  <c r="L70"/>
  <c r="K70"/>
  <c r="J70"/>
  <c r="I70"/>
  <c r="H70"/>
  <c r="G70"/>
  <c r="F70"/>
  <c r="D70"/>
  <c r="Y69"/>
  <c r="T69"/>
  <c r="S69"/>
  <c r="R69"/>
  <c r="Q69"/>
  <c r="P69"/>
  <c r="O69"/>
  <c r="N69"/>
  <c r="M69"/>
  <c r="L69"/>
  <c r="K69"/>
  <c r="J69"/>
  <c r="I69"/>
  <c r="H69"/>
  <c r="G69"/>
  <c r="F69"/>
  <c r="D69"/>
  <c r="T68"/>
  <c r="S68"/>
  <c r="R68"/>
  <c r="Q68"/>
  <c r="P68"/>
  <c r="O68"/>
  <c r="N68"/>
  <c r="M68"/>
  <c r="L68"/>
  <c r="K68"/>
  <c r="J68"/>
  <c r="I68"/>
  <c r="H68"/>
  <c r="G68"/>
  <c r="F68"/>
  <c r="D68"/>
  <c r="T67"/>
  <c r="S67"/>
  <c r="R67"/>
  <c r="Q67"/>
  <c r="P67"/>
  <c r="O67"/>
  <c r="N67"/>
  <c r="M67"/>
  <c r="L67"/>
  <c r="K67"/>
  <c r="J67"/>
  <c r="I67"/>
  <c r="H67"/>
  <c r="G67"/>
  <c r="F67"/>
  <c r="D67"/>
  <c r="T66"/>
  <c r="S66"/>
  <c r="R66"/>
  <c r="Q66"/>
  <c r="P66"/>
  <c r="O66"/>
  <c r="N66"/>
  <c r="M66"/>
  <c r="L66"/>
  <c r="K66"/>
  <c r="J66"/>
  <c r="I66"/>
  <c r="H66"/>
  <c r="G66"/>
  <c r="F66"/>
  <c r="D66"/>
  <c r="T65"/>
  <c r="S65"/>
  <c r="R65"/>
  <c r="Q65"/>
  <c r="P65"/>
  <c r="O65"/>
  <c r="N65"/>
  <c r="M65"/>
  <c r="L65"/>
  <c r="K65"/>
  <c r="J65"/>
  <c r="I65"/>
  <c r="H65"/>
  <c r="G65"/>
  <c r="F65"/>
  <c r="D65"/>
  <c r="AB64"/>
  <c r="AA64"/>
  <c r="W64"/>
  <c r="T64"/>
  <c r="S64"/>
  <c r="R64"/>
  <c r="Q64"/>
  <c r="P64"/>
  <c r="O64"/>
  <c r="N64"/>
  <c r="M64"/>
  <c r="L64"/>
  <c r="K64"/>
  <c r="J64"/>
  <c r="I64"/>
  <c r="H64"/>
  <c r="G64"/>
  <c r="F64"/>
  <c r="D64"/>
  <c r="T63"/>
  <c r="S63"/>
  <c r="R63"/>
  <c r="Q63"/>
  <c r="P63"/>
  <c r="O63"/>
  <c r="N63"/>
  <c r="M63"/>
  <c r="L63"/>
  <c r="K63"/>
  <c r="J63"/>
  <c r="I63"/>
  <c r="H63"/>
  <c r="G63"/>
  <c r="F63"/>
  <c r="D63"/>
  <c r="AJ62"/>
  <c r="D43"/>
  <c r="E43"/>
  <c r="F47"/>
  <c r="E53"/>
  <c r="AI62"/>
  <c r="M43"/>
  <c r="N43"/>
  <c r="O47"/>
  <c r="N53"/>
  <c r="AH62"/>
  <c r="V43"/>
  <c r="W43"/>
  <c r="X47"/>
  <c r="W53"/>
  <c r="AG62"/>
  <c r="AE43"/>
  <c r="AF43"/>
  <c r="AG47"/>
  <c r="AF53"/>
  <c r="AF62"/>
  <c r="T62"/>
  <c r="S62"/>
  <c r="R62"/>
  <c r="Q62"/>
  <c r="P62"/>
  <c r="O62"/>
  <c r="N62"/>
  <c r="M62"/>
  <c r="L62"/>
  <c r="K62"/>
  <c r="J62"/>
  <c r="I62"/>
  <c r="H62"/>
  <c r="G62"/>
  <c r="F62"/>
  <c r="D62"/>
  <c r="AJ61"/>
  <c r="D47"/>
  <c r="E47"/>
  <c r="E54"/>
  <c r="AI61"/>
  <c r="M47"/>
  <c r="N47"/>
  <c r="N54"/>
  <c r="AH61"/>
  <c r="V47"/>
  <c r="W47"/>
  <c r="W54"/>
  <c r="AG61"/>
  <c r="AE47"/>
  <c r="AF47"/>
  <c r="AF54"/>
  <c r="AF61"/>
  <c r="AJ60"/>
  <c r="E55"/>
  <c r="AI60"/>
  <c r="N55"/>
  <c r="AH60"/>
  <c r="W55"/>
  <c r="AG60"/>
  <c r="AF55"/>
  <c r="AF60"/>
  <c r="AJ59"/>
  <c r="Y58"/>
  <c r="S58"/>
  <c r="R58"/>
  <c r="Q58"/>
  <c r="P58"/>
  <c r="O58"/>
  <c r="AE55"/>
  <c r="AD55"/>
  <c r="AC55"/>
  <c r="V55"/>
  <c r="U55"/>
  <c r="T55"/>
  <c r="M55"/>
  <c r="L55"/>
  <c r="K55"/>
  <c r="D55"/>
  <c r="C55"/>
  <c r="B55"/>
  <c r="AH54"/>
  <c r="AE54"/>
  <c r="AD54"/>
  <c r="AC54"/>
  <c r="Y54"/>
  <c r="V54"/>
  <c r="U54"/>
  <c r="T54"/>
  <c r="M54"/>
  <c r="L54"/>
  <c r="K54"/>
  <c r="D54"/>
  <c r="C54"/>
  <c r="B54"/>
  <c r="AE53"/>
  <c r="AD53"/>
  <c r="AC53"/>
  <c r="V53"/>
  <c r="U53"/>
  <c r="T53"/>
  <c r="M53"/>
  <c r="L53"/>
  <c r="K53"/>
  <c r="D53"/>
  <c r="C53"/>
  <c r="B53"/>
  <c r="AH52"/>
  <c r="AF52"/>
  <c r="AE52"/>
  <c r="AD52"/>
  <c r="AC52"/>
  <c r="Y52"/>
  <c r="W52"/>
  <c r="V52"/>
  <c r="U52"/>
  <c r="T52"/>
  <c r="P52"/>
  <c r="N52"/>
  <c r="M52"/>
  <c r="L52"/>
  <c r="K52"/>
  <c r="G52"/>
  <c r="E52"/>
  <c r="D52"/>
  <c r="C52"/>
  <c r="B52"/>
  <c r="AH51"/>
  <c r="Y51"/>
  <c r="P51"/>
  <c r="G51"/>
  <c r="AC50"/>
  <c r="T50"/>
  <c r="K50"/>
  <c r="B50"/>
  <c r="AE48"/>
  <c r="V48"/>
  <c r="M48"/>
  <c r="D48"/>
  <c r="AE45"/>
  <c r="V45"/>
  <c r="M45"/>
  <c r="D45"/>
  <c r="AH40"/>
  <c r="AG40"/>
  <c r="AC40"/>
  <c r="Y40"/>
  <c r="X40"/>
  <c r="T40"/>
  <c r="P40"/>
  <c r="O40"/>
  <c r="K40"/>
  <c r="G40"/>
  <c r="F40"/>
  <c r="B40"/>
  <c r="AG25"/>
  <c r="AF25"/>
  <c r="AE25"/>
  <c r="AD25"/>
  <c r="AG24"/>
  <c r="AF24"/>
  <c r="AE24"/>
  <c r="AD24"/>
  <c r="AG23"/>
  <c r="AF23"/>
  <c r="AE23"/>
  <c r="AD23"/>
  <c r="AI22"/>
  <c r="AG22"/>
  <c r="AF22"/>
  <c r="AE22"/>
  <c r="AD22"/>
  <c r="J22"/>
  <c r="AI21"/>
  <c r="J21"/>
  <c r="AD20"/>
  <c r="J20"/>
  <c r="AF18"/>
  <c r="AH17"/>
  <c r="AG17"/>
  <c r="AF17"/>
  <c r="AF15"/>
  <c r="AG13"/>
  <c r="AF13"/>
  <c r="AI10"/>
  <c r="AH10"/>
  <c r="AD10"/>
  <c r="AG7"/>
  <c r="K137" i="13"/>
  <c r="I135"/>
  <c r="G134"/>
  <c r="W132"/>
  <c r="W131"/>
  <c r="W130"/>
  <c r="G129"/>
  <c r="E129"/>
  <c r="C125"/>
  <c r="K120"/>
  <c r="W118"/>
  <c r="I118"/>
  <c r="W117"/>
  <c r="G117"/>
  <c r="W116"/>
  <c r="G112"/>
  <c r="E112"/>
  <c r="K109"/>
  <c r="C108"/>
  <c r="W100"/>
  <c r="H100"/>
  <c r="F100"/>
  <c r="D100"/>
  <c r="W99"/>
  <c r="H99"/>
  <c r="F99"/>
  <c r="W98"/>
  <c r="M80"/>
  <c r="F80"/>
  <c r="E80"/>
  <c r="D80"/>
  <c r="D79"/>
  <c r="E77"/>
  <c r="D77"/>
  <c r="P75"/>
  <c r="K25"/>
  <c r="J25"/>
  <c r="I25"/>
  <c r="H25"/>
  <c r="K24"/>
  <c r="J24"/>
  <c r="I24"/>
  <c r="H24"/>
  <c r="W23"/>
  <c r="V23"/>
  <c r="U23"/>
  <c r="K23"/>
  <c r="J23"/>
  <c r="I23"/>
  <c r="H23"/>
  <c r="M22"/>
  <c r="K22"/>
  <c r="J22"/>
  <c r="I22"/>
  <c r="H22"/>
  <c r="U21"/>
  <c r="M21"/>
  <c r="K21"/>
  <c r="J21"/>
  <c r="I21"/>
  <c r="H20"/>
  <c r="V19"/>
  <c r="U19"/>
  <c r="P17"/>
  <c r="O17"/>
  <c r="N17"/>
  <c r="M17"/>
  <c r="L17"/>
  <c r="K17"/>
  <c r="J17"/>
  <c r="I17"/>
  <c r="H17"/>
  <c r="G17"/>
  <c r="F17"/>
  <c r="E17"/>
  <c r="P16"/>
  <c r="O16"/>
  <c r="N16"/>
  <c r="M16"/>
  <c r="L16"/>
  <c r="K16"/>
  <c r="J16"/>
  <c r="I16"/>
  <c r="H16"/>
  <c r="G16"/>
  <c r="F16"/>
  <c r="E16"/>
  <c r="P15"/>
  <c r="O15"/>
  <c r="N15"/>
  <c r="M15"/>
  <c r="L15"/>
  <c r="K15"/>
  <c r="J15"/>
  <c r="I15"/>
  <c r="H15"/>
  <c r="G15"/>
  <c r="F15"/>
  <c r="E15"/>
  <c r="P14"/>
  <c r="O14"/>
  <c r="N14"/>
  <c r="M14"/>
  <c r="L14"/>
  <c r="K14"/>
  <c r="J14"/>
  <c r="I14"/>
  <c r="H14"/>
  <c r="G14"/>
  <c r="F14"/>
  <c r="E14"/>
  <c r="P13"/>
  <c r="O13"/>
  <c r="N13"/>
  <c r="M13"/>
  <c r="L13"/>
  <c r="K13"/>
  <c r="J13"/>
  <c r="I13"/>
  <c r="H13"/>
  <c r="G13"/>
  <c r="F13"/>
  <c r="E13"/>
  <c r="O10"/>
  <c r="R9"/>
</calcChain>
</file>

<file path=xl/sharedStrings.xml><?xml version="1.0" encoding="utf-8"?>
<sst xmlns="http://schemas.openxmlformats.org/spreadsheetml/2006/main" count="2820" uniqueCount="429">
  <si>
    <t>relevés précédents</t>
    <phoneticPr fontId="12" type="noConversion"/>
  </si>
  <si>
    <t>traction</t>
    <phoneticPr fontId="12" type="noConversion"/>
  </si>
  <si>
    <t>courant</t>
    <phoneticPr fontId="12" type="noConversion"/>
  </si>
  <si>
    <t>radio</t>
    <phoneticPr fontId="12" type="noConversion"/>
  </si>
  <si>
    <t>fly control</t>
    <phoneticPr fontId="12" type="noConversion"/>
  </si>
  <si>
    <t>grs</t>
    <phoneticPr fontId="12" type="noConversion"/>
  </si>
  <si>
    <t>grs</t>
    <phoneticPr fontId="12" type="noConversion"/>
  </si>
  <si>
    <t>4 x Turnigy nano-tech 4500mah 3S 45~90C Lipo Pack</t>
    <phoneticPr fontId="12" type="noConversion"/>
  </si>
  <si>
    <t>70 grs</t>
    <phoneticPr fontId="12" type="noConversion"/>
  </si>
  <si>
    <t>plaques 1,5mm</t>
    <phoneticPr fontId="12" type="noConversion"/>
  </si>
  <si>
    <t>5S</t>
    <phoneticPr fontId="12" type="noConversion"/>
  </si>
  <si>
    <t>6S</t>
    <phoneticPr fontId="12" type="noConversion"/>
  </si>
  <si>
    <t>V</t>
    <phoneticPr fontId="12" type="noConversion"/>
  </si>
  <si>
    <r>
      <t>P</t>
    </r>
    <r>
      <rPr>
        <vertAlign val="subscript"/>
        <sz val="10"/>
        <rFont val="Verdana"/>
      </rPr>
      <t>t</t>
    </r>
    <r>
      <rPr>
        <sz val="12"/>
        <color theme="1"/>
        <rFont val="Calibri"/>
        <family val="2"/>
        <scheme val="minor"/>
      </rPr>
      <t>=(R</t>
    </r>
    <r>
      <rPr>
        <vertAlign val="subscript"/>
        <sz val="10"/>
        <rFont val="Verdana"/>
      </rPr>
      <t>b</t>
    </r>
    <r>
      <rPr>
        <sz val="12"/>
        <color theme="1"/>
        <rFont val="Calibri"/>
        <family val="2"/>
        <scheme val="minor"/>
      </rPr>
      <t xml:space="preserve"> x I</t>
    </r>
    <r>
      <rPr>
        <vertAlign val="subscript"/>
        <sz val="10"/>
        <rFont val="Verdana"/>
      </rPr>
      <t>max</t>
    </r>
    <r>
      <rPr>
        <vertAlign val="superscript"/>
        <sz val="10"/>
        <rFont val="Verdana"/>
      </rPr>
      <t>2</t>
    </r>
    <r>
      <rPr>
        <sz val="12"/>
        <color theme="1"/>
        <rFont val="Calibri"/>
        <family val="2"/>
        <scheme val="minor"/>
      </rPr>
      <t xml:space="preserve"> + I</t>
    </r>
    <r>
      <rPr>
        <vertAlign val="subscript"/>
        <sz val="10"/>
        <rFont val="Verdana"/>
      </rPr>
      <t>o</t>
    </r>
    <r>
      <rPr>
        <sz val="12"/>
        <color theme="1"/>
        <rFont val="Calibri"/>
        <family val="2"/>
        <scheme val="minor"/>
      </rPr>
      <t xml:space="preserve"> x (V</t>
    </r>
    <r>
      <rPr>
        <vertAlign val="subscript"/>
        <sz val="10"/>
        <rFont val="Verdana"/>
      </rPr>
      <t>nominale</t>
    </r>
    <r>
      <rPr>
        <sz val="12"/>
        <color theme="1"/>
        <rFont val="Calibri"/>
        <family val="2"/>
        <scheme val="minor"/>
      </rPr>
      <t xml:space="preserve"> - I</t>
    </r>
    <r>
      <rPr>
        <vertAlign val="subscript"/>
        <sz val="10"/>
        <rFont val="Verdana"/>
      </rPr>
      <t>max</t>
    </r>
    <r>
      <rPr>
        <sz val="12"/>
        <color theme="1"/>
        <rFont val="Calibri"/>
        <family val="2"/>
        <scheme val="minor"/>
      </rPr>
      <t xml:space="preserve"> x R</t>
    </r>
    <r>
      <rPr>
        <vertAlign val="subscript"/>
        <sz val="10"/>
        <rFont val="Verdana"/>
      </rPr>
      <t>b</t>
    </r>
    <r>
      <rPr>
        <sz val="12"/>
        <color theme="1"/>
        <rFont val="Calibri"/>
        <family val="2"/>
        <scheme val="minor"/>
      </rPr>
      <t>))/2</t>
    </r>
    <phoneticPr fontId="12" type="noConversion"/>
  </si>
  <si>
    <t>n100w DC34</t>
    <phoneticPr fontId="0" type="noConversion"/>
  </si>
  <si>
    <t>570 grs</t>
    <phoneticPr fontId="12" type="noConversion"/>
  </si>
  <si>
    <r>
      <t>Pt</t>
    </r>
    <r>
      <rPr>
        <vertAlign val="subscript"/>
        <sz val="12"/>
        <color indexed="8"/>
        <rFont val="Calibri"/>
      </rPr>
      <t>max</t>
    </r>
    <phoneticPr fontId="12" type="noConversion"/>
  </si>
  <si>
    <r>
      <t>P</t>
    </r>
    <r>
      <rPr>
        <vertAlign val="subscript"/>
        <sz val="12"/>
        <color indexed="8"/>
        <rFont val="Calibri"/>
      </rPr>
      <t>nom</t>
    </r>
    <phoneticPr fontId="12" type="noConversion"/>
  </si>
  <si>
    <t>W</t>
    <phoneticPr fontId="12" type="noConversion"/>
  </si>
  <si>
    <t>Amp</t>
    <phoneticPr fontId="12" type="noConversion"/>
  </si>
  <si>
    <r>
      <t>V</t>
    </r>
    <r>
      <rPr>
        <vertAlign val="subscript"/>
        <sz val="12"/>
        <color indexed="8"/>
        <rFont val="Calibri"/>
      </rPr>
      <t>nom</t>
    </r>
    <phoneticPr fontId="12" type="noConversion"/>
  </si>
  <si>
    <t>V</t>
    <phoneticPr fontId="12" type="noConversion"/>
  </si>
  <si>
    <r>
      <t>I</t>
    </r>
    <r>
      <rPr>
        <vertAlign val="subscript"/>
        <sz val="10"/>
        <rFont val="Verdana"/>
      </rPr>
      <t>max</t>
    </r>
    <r>
      <rPr>
        <sz val="10"/>
        <rFont val="Verdana"/>
      </rPr>
      <t>=(R</t>
    </r>
    <r>
      <rPr>
        <vertAlign val="subscript"/>
        <sz val="10"/>
        <rFont val="Verdana"/>
      </rPr>
      <t>b</t>
    </r>
    <r>
      <rPr>
        <sz val="10"/>
        <rFont val="Verdana"/>
      </rPr>
      <t xml:space="preserve"> x I</t>
    </r>
    <r>
      <rPr>
        <vertAlign val="subscript"/>
        <sz val="10"/>
        <rFont val="Verdana"/>
      </rPr>
      <t>o</t>
    </r>
    <r>
      <rPr>
        <sz val="10"/>
        <rFont val="Verdana"/>
      </rPr>
      <t xml:space="preserve"> + √(R</t>
    </r>
    <r>
      <rPr>
        <vertAlign val="subscript"/>
        <sz val="10"/>
        <rFont val="Verdana"/>
      </rPr>
      <t>b</t>
    </r>
    <r>
      <rPr>
        <vertAlign val="superscript"/>
        <sz val="10"/>
        <rFont val="Verdana"/>
      </rPr>
      <t>2</t>
    </r>
    <r>
      <rPr>
        <sz val="10"/>
        <rFont val="Verdana"/>
      </rPr>
      <t xml:space="preserve"> x I</t>
    </r>
    <r>
      <rPr>
        <vertAlign val="subscript"/>
        <sz val="10"/>
        <rFont val="Verdana"/>
      </rPr>
      <t>o</t>
    </r>
    <r>
      <rPr>
        <vertAlign val="superscript"/>
        <sz val="10"/>
        <rFont val="Verdana"/>
      </rPr>
      <t>2</t>
    </r>
    <r>
      <rPr>
        <sz val="10"/>
        <rFont val="Verdana"/>
      </rPr>
      <t xml:space="preserve"> + 4 x R</t>
    </r>
    <r>
      <rPr>
        <vertAlign val="subscript"/>
        <sz val="10"/>
        <rFont val="Verdana"/>
      </rPr>
      <t>b</t>
    </r>
    <r>
      <rPr>
        <sz val="10"/>
        <rFont val="Verdana"/>
      </rPr>
      <t xml:space="preserve"> x (P</t>
    </r>
    <r>
      <rPr>
        <vertAlign val="subscript"/>
        <sz val="10"/>
        <rFont val="Verdana"/>
      </rPr>
      <t>t</t>
    </r>
    <r>
      <rPr>
        <sz val="10"/>
        <rFont val="Verdana"/>
      </rPr>
      <t xml:space="preserve"> - V x I</t>
    </r>
    <r>
      <rPr>
        <vertAlign val="subscript"/>
        <sz val="10"/>
        <rFont val="Verdana"/>
      </rPr>
      <t>o</t>
    </r>
    <r>
      <rPr>
        <sz val="10"/>
        <rFont val="Verdana"/>
      </rPr>
      <t>)))/(2 x R</t>
    </r>
    <r>
      <rPr>
        <vertAlign val="subscript"/>
        <sz val="10"/>
        <rFont val="Verdana"/>
      </rPr>
      <t>b</t>
    </r>
    <r>
      <rPr>
        <sz val="10"/>
        <rFont val="Verdana"/>
      </rPr>
      <t>)</t>
    </r>
  </si>
  <si>
    <t>pont serre-tube</t>
    <phoneticPr fontId="12" type="noConversion"/>
  </si>
  <si>
    <t>Ph méca</t>
    <phoneticPr fontId="12" type="noConversion"/>
  </si>
  <si>
    <t>F calculé</t>
    <phoneticPr fontId="12" type="noConversion"/>
  </si>
  <si>
    <t>efficacité</t>
    <phoneticPr fontId="12" type="noConversion"/>
  </si>
  <si>
    <t>33 grs</t>
    <phoneticPr fontId="12" type="noConversion"/>
  </si>
  <si>
    <t>TURNIGY BESC Programming Card</t>
  </si>
  <si>
    <t>LiPo</t>
    <phoneticPr fontId="12" type="noConversion"/>
  </si>
  <si>
    <t>choix</t>
    <phoneticPr fontId="12" type="noConversion"/>
  </si>
  <si>
    <t>grs</t>
    <phoneticPr fontId="12" type="noConversion"/>
  </si>
  <si>
    <t>total</t>
    <phoneticPr fontId="12" type="noConversion"/>
  </si>
  <si>
    <r>
      <t>P</t>
    </r>
    <r>
      <rPr>
        <vertAlign val="subscript"/>
        <sz val="10"/>
        <rFont val="Verdana"/>
      </rPr>
      <t>t</t>
    </r>
    <r>
      <rPr>
        <sz val="12"/>
        <color theme="1"/>
        <rFont val="Calibri"/>
        <family val="2"/>
        <scheme val="minor"/>
      </rPr>
      <t>=(R</t>
    </r>
    <r>
      <rPr>
        <vertAlign val="subscript"/>
        <sz val="10"/>
        <rFont val="Verdana"/>
      </rPr>
      <t>b</t>
    </r>
    <r>
      <rPr>
        <sz val="12"/>
        <color theme="1"/>
        <rFont val="Calibri"/>
        <family val="2"/>
        <scheme val="minor"/>
      </rPr>
      <t xml:space="preserve"> x I</t>
    </r>
    <r>
      <rPr>
        <vertAlign val="subscript"/>
        <sz val="10"/>
        <rFont val="Verdana"/>
      </rPr>
      <t>max</t>
    </r>
    <r>
      <rPr>
        <vertAlign val="superscript"/>
        <sz val="10"/>
        <rFont val="Verdana"/>
      </rPr>
      <t>2</t>
    </r>
    <r>
      <rPr>
        <sz val="12"/>
        <color theme="1"/>
        <rFont val="Calibri"/>
        <family val="2"/>
        <scheme val="minor"/>
      </rPr>
      <t xml:space="preserve"> + I</t>
    </r>
    <r>
      <rPr>
        <vertAlign val="subscript"/>
        <sz val="10"/>
        <rFont val="Verdana"/>
      </rPr>
      <t>o</t>
    </r>
    <r>
      <rPr>
        <sz val="12"/>
        <color theme="1"/>
        <rFont val="Calibri"/>
        <family val="2"/>
        <scheme val="minor"/>
      </rPr>
      <t xml:space="preserve"> x (V</t>
    </r>
    <r>
      <rPr>
        <vertAlign val="subscript"/>
        <sz val="10"/>
        <rFont val="Verdana"/>
      </rPr>
      <t>nominale</t>
    </r>
    <r>
      <rPr>
        <sz val="12"/>
        <color theme="1"/>
        <rFont val="Calibri"/>
        <family val="2"/>
        <scheme val="minor"/>
      </rPr>
      <t xml:space="preserve"> - I</t>
    </r>
    <r>
      <rPr>
        <vertAlign val="subscript"/>
        <sz val="10"/>
        <rFont val="Verdana"/>
      </rPr>
      <t>max</t>
    </r>
    <r>
      <rPr>
        <sz val="12"/>
        <color theme="1"/>
        <rFont val="Calibri"/>
        <family val="2"/>
        <scheme val="minor"/>
      </rPr>
      <t xml:space="preserve"> x R</t>
    </r>
    <r>
      <rPr>
        <vertAlign val="subscript"/>
        <sz val="10"/>
        <rFont val="Verdana"/>
      </rPr>
      <t>b</t>
    </r>
    <r>
      <rPr>
        <sz val="12"/>
        <color theme="1"/>
        <rFont val="Calibri"/>
        <family val="2"/>
        <scheme val="minor"/>
      </rPr>
      <t>))/2</t>
    </r>
    <phoneticPr fontId="12" type="noConversion"/>
  </si>
  <si>
    <t>n100w estimé</t>
    <phoneticPr fontId="0" type="noConversion"/>
  </si>
  <si>
    <t>M en Nm</t>
    <phoneticPr fontId="0" type="noConversion"/>
  </si>
  <si>
    <t>4 variateurs</t>
    <phoneticPr fontId="12" type="noConversion"/>
  </si>
  <si>
    <t>grs</t>
    <phoneticPr fontId="12" type="noConversion"/>
  </si>
  <si>
    <t>radio, etc.</t>
    <phoneticPr fontId="12" type="noConversion"/>
  </si>
  <si>
    <t>fuselage</t>
    <phoneticPr fontId="12" type="noConversion"/>
  </si>
  <si>
    <t>grs/hexa</t>
    <phoneticPr fontId="12" type="noConversion"/>
  </si>
  <si>
    <t>sans moteurs ni accus</t>
    <phoneticPr fontId="12" type="noConversion"/>
  </si>
  <si>
    <t>V</t>
    <phoneticPr fontId="0" type="noConversion"/>
  </si>
  <si>
    <t>RPM calculé</t>
    <phoneticPr fontId="0" type="noConversion"/>
  </si>
  <si>
    <t>Couple</t>
    <phoneticPr fontId="0" type="noConversion"/>
  </si>
  <si>
    <t>temps vol 6Ah à 4 moteurs</t>
    <phoneticPr fontId="12" type="noConversion"/>
  </si>
  <si>
    <t>Turnigy Multistar 4230-400Kv 16 Poles Multi-Rotor Outrunner</t>
    <phoneticPr fontId="12" type="noConversion"/>
  </si>
  <si>
    <t>Afro ESC 30Amp</t>
    <phoneticPr fontId="12" type="noConversion"/>
  </si>
  <si>
    <t>ŋ moteur</t>
    <phoneticPr fontId="12" type="noConversion"/>
  </si>
  <si>
    <t>chassis</t>
    <phoneticPr fontId="12" type="noConversion"/>
  </si>
  <si>
    <t>poids moteur</t>
    <phoneticPr fontId="12" type="noConversion"/>
  </si>
  <si>
    <t>traction/moteur</t>
    <phoneticPr fontId="12" type="noConversion"/>
  </si>
  <si>
    <t>poids</t>
    <phoneticPr fontId="12" type="noConversion"/>
  </si>
  <si>
    <t>mAh</t>
    <phoneticPr fontId="12" type="noConversion"/>
  </si>
  <si>
    <t>Turnigy nano-tech 8000mAh 6S 25~50C Lipo Pack</t>
  </si>
  <si>
    <t>3S</t>
    <phoneticPr fontId="12" type="noConversion"/>
  </si>
  <si>
    <t>4S</t>
    <phoneticPr fontId="12" type="noConversion"/>
  </si>
  <si>
    <t>5S</t>
    <phoneticPr fontId="12" type="noConversion"/>
  </si>
  <si>
    <t>6S</t>
    <phoneticPr fontId="12" type="noConversion"/>
  </si>
  <si>
    <t>Turnigy nano-tech 6000mah 4S 25~50C</t>
  </si>
  <si>
    <t>88 grs</t>
    <phoneticPr fontId="12" type="noConversion"/>
  </si>
  <si>
    <t>Ah/moteur</t>
    <phoneticPr fontId="12" type="noConversion"/>
  </si>
  <si>
    <t>grs/w</t>
  </si>
  <si>
    <r>
      <t>I</t>
    </r>
    <r>
      <rPr>
        <vertAlign val="subscript"/>
        <sz val="10"/>
        <rFont val="Verdana"/>
      </rPr>
      <t>o</t>
    </r>
  </si>
  <si>
    <t>V</t>
  </si>
  <si>
    <t>%</t>
    <phoneticPr fontId="12" type="noConversion"/>
  </si>
  <si>
    <t>%</t>
    <phoneticPr fontId="12" type="noConversion"/>
  </si>
  <si>
    <t>du résultat calculé</t>
    <phoneticPr fontId="12" type="noConversion"/>
  </si>
  <si>
    <t>138 grs</t>
    <phoneticPr fontId="12" type="noConversion"/>
  </si>
  <si>
    <t>estimation hexacoptère</t>
    <phoneticPr fontId="12" type="noConversion"/>
  </si>
  <si>
    <t>règles</t>
    <phoneticPr fontId="12" type="noConversion"/>
  </si>
  <si>
    <t>plaques 1mm</t>
    <phoneticPr fontId="12" type="noConversion"/>
  </si>
  <si>
    <t>cm2</t>
  </si>
  <si>
    <t>cm2</t>
    <phoneticPr fontId="12" type="noConversion"/>
  </si>
  <si>
    <t>dm2</t>
    <phoneticPr fontId="12" type="noConversion"/>
  </si>
  <si>
    <t>dm3</t>
    <phoneticPr fontId="12" type="noConversion"/>
  </si>
  <si>
    <t>serre-tubes</t>
    <phoneticPr fontId="12" type="noConversion"/>
  </si>
  <si>
    <t>20x20</t>
    <phoneticPr fontId="12" type="noConversion"/>
  </si>
  <si>
    <t>5,8x5,8/2x4</t>
    <phoneticPr fontId="12" type="noConversion"/>
  </si>
  <si>
    <t>d 8</t>
    <phoneticPr fontId="12" type="noConversion"/>
  </si>
  <si>
    <t>plaques</t>
    <phoneticPr fontId="12" type="noConversion"/>
  </si>
  <si>
    <t>vol</t>
    <phoneticPr fontId="12" type="noConversion"/>
  </si>
  <si>
    <t>F</t>
    <phoneticPr fontId="12" type="noConversion"/>
  </si>
  <si>
    <t>P</t>
    <phoneticPr fontId="12" type="noConversion"/>
  </si>
  <si>
    <t>I</t>
    <phoneticPr fontId="12" type="noConversion"/>
  </si>
  <si>
    <t>RPM</t>
    <phoneticPr fontId="12" type="noConversion"/>
  </si>
  <si>
    <t>Mesures</t>
    <phoneticPr fontId="12" type="noConversion"/>
  </si>
  <si>
    <t>1/2 serre-tubes</t>
    <phoneticPr fontId="12" type="noConversion"/>
  </si>
  <si>
    <t>Turnigy</t>
    <phoneticPr fontId="12" type="noConversion"/>
  </si>
  <si>
    <t>LiPo 8000mAh nanotech</t>
    <phoneticPr fontId="12" type="noConversion"/>
  </si>
  <si>
    <t>grs</t>
    <phoneticPr fontId="12" type="noConversion"/>
  </si>
  <si>
    <t>rendement moteur</t>
    <phoneticPr fontId="0" type="noConversion"/>
  </si>
  <si>
    <t>efficacité</t>
    <phoneticPr fontId="0" type="noConversion"/>
  </si>
  <si>
    <t>tension</t>
    <phoneticPr fontId="0" type="noConversion"/>
  </si>
  <si>
    <t>Pout selon ŋ</t>
    <phoneticPr fontId="0" type="noConversion"/>
  </si>
  <si>
    <t>Pout (DC34)</t>
    <phoneticPr fontId="0" type="noConversion"/>
  </si>
  <si>
    <t>Pout (n100W)</t>
    <phoneticPr fontId="0" type="noConversion"/>
  </si>
  <si>
    <t>98 grs</t>
    <phoneticPr fontId="12" type="noConversion"/>
  </si>
  <si>
    <t>4010-485KV Turnigy Multistar 22 Pole Brushless</t>
    <phoneticPr fontId="12" type="noConversion"/>
  </si>
  <si>
    <t>ajourage sup</t>
    <phoneticPr fontId="12" type="noConversion"/>
  </si>
  <si>
    <t>V2</t>
    <phoneticPr fontId="12" type="noConversion"/>
  </si>
  <si>
    <t>Pmax/V</t>
    <phoneticPr fontId="12" type="noConversion"/>
  </si>
  <si>
    <t>Pin</t>
    <phoneticPr fontId="0" type="noConversion"/>
  </si>
  <si>
    <t>RPM</t>
    <phoneticPr fontId="0" type="noConversion"/>
  </si>
  <si>
    <t>Turnigy nano-tech 8000mAh 6S 25~50C Lipo Pack</t>
    <phoneticPr fontId="12" type="noConversion"/>
  </si>
  <si>
    <t>L'hexacoptère ne peut faire aussi bien qu'un quadricoptère</t>
    <phoneticPr fontId="12" type="noConversion"/>
  </si>
  <si>
    <t>grs</t>
    <phoneticPr fontId="12" type="noConversion"/>
  </si>
  <si>
    <t>Pin</t>
    <phoneticPr fontId="12" type="noConversion"/>
  </si>
  <si>
    <t>V</t>
    <phoneticPr fontId="12" type="noConversion"/>
  </si>
  <si>
    <t>pas</t>
    <phoneticPr fontId="12" type="noConversion"/>
  </si>
  <si>
    <t>Kp</t>
    <phoneticPr fontId="12" type="noConversion"/>
  </si>
  <si>
    <t>coef adapt</t>
    <phoneticPr fontId="12" type="noConversion"/>
  </si>
  <si>
    <t>efficacité</t>
    <phoneticPr fontId="12" type="noConversion"/>
  </si>
  <si>
    <t>Ph selon</t>
    <phoneticPr fontId="12" type="noConversion"/>
  </si>
  <si>
    <t>traction</t>
    <phoneticPr fontId="12" type="noConversion"/>
  </si>
  <si>
    <t>Pin</t>
    <phoneticPr fontId="12" type="noConversion"/>
  </si>
  <si>
    <t>Ah à 65%</t>
  </si>
  <si>
    <t>Ah à 65%</t>
    <phoneticPr fontId="12" type="noConversion"/>
  </si>
  <si>
    <t>minutes</t>
  </si>
  <si>
    <t>minutes</t>
    <phoneticPr fontId="12" type="noConversion"/>
  </si>
  <si>
    <t>Les derniers relevés ont été faits à 100% des gaz et la vitesse de rotation mesurée est fiable.</t>
    <phoneticPr fontId="12" type="noConversion"/>
  </si>
  <si>
    <t>grs/quadri</t>
    <phoneticPr fontId="12" type="noConversion"/>
  </si>
  <si>
    <t>4 bras</t>
    <phoneticPr fontId="12" type="noConversion"/>
  </si>
  <si>
    <t>traction</t>
    <phoneticPr fontId="12" type="noConversion"/>
  </si>
  <si>
    <t>courant</t>
    <phoneticPr fontId="12" type="noConversion"/>
  </si>
  <si>
    <t>hélices</t>
    <phoneticPr fontId="12" type="noConversion"/>
  </si>
  <si>
    <t>carbone</t>
    <phoneticPr fontId="12" type="noConversion"/>
  </si>
  <si>
    <t>Ph élec</t>
    <phoneticPr fontId="12" type="noConversion"/>
  </si>
  <si>
    <t>ŋ moteur</t>
    <phoneticPr fontId="12" type="noConversion"/>
  </si>
  <si>
    <t>RPM calculé</t>
    <phoneticPr fontId="13" type="noConversion"/>
  </si>
  <si>
    <t>grs</t>
    <phoneticPr fontId="12" type="noConversion"/>
  </si>
  <si>
    <t>ZIPPY Compact 5800mAh 6S 25C</t>
  </si>
  <si>
    <t>Turnigy nano-tech 6000mah 6S 25~50C</t>
  </si>
  <si>
    <t>traction</t>
    <phoneticPr fontId="12" type="noConversion"/>
  </si>
  <si>
    <t>temps vol 6Ah à 4 moteurs</t>
    <phoneticPr fontId="12" type="noConversion"/>
  </si>
  <si>
    <t>temps vol 8Ah à 4 moteurs</t>
    <phoneticPr fontId="12" type="noConversion"/>
  </si>
  <si>
    <t>temps vol 8Ah à 4 moteurs</t>
    <phoneticPr fontId="12" type="noConversion"/>
  </si>
  <si>
    <r>
      <t>I</t>
    </r>
    <r>
      <rPr>
        <vertAlign val="subscript"/>
        <sz val="10"/>
        <rFont val="Verdana"/>
      </rPr>
      <t>max</t>
    </r>
    <r>
      <rPr>
        <sz val="12"/>
        <color theme="1"/>
        <rFont val="Calibri"/>
        <family val="2"/>
        <scheme val="minor"/>
      </rPr>
      <t/>
    </r>
    <phoneticPr fontId="12" type="noConversion"/>
  </si>
  <si>
    <r>
      <t>P</t>
    </r>
    <r>
      <rPr>
        <vertAlign val="subscript"/>
        <sz val="12"/>
        <color indexed="8"/>
        <rFont val="Calibri"/>
      </rPr>
      <t>nom</t>
    </r>
    <phoneticPr fontId="12" type="noConversion"/>
  </si>
  <si>
    <t>Kv</t>
    <phoneticPr fontId="13" type="noConversion"/>
  </si>
  <si>
    <t>Rb</t>
    <phoneticPr fontId="13" type="noConversion"/>
  </si>
  <si>
    <t>Estimation d'après les données de l'hélice 13x6,5</t>
    <phoneticPr fontId="12" type="noConversion"/>
  </si>
  <si>
    <t>coef adapt</t>
    <phoneticPr fontId="12" type="noConversion"/>
  </si>
  <si>
    <t>pas</t>
    <phoneticPr fontId="12" type="noConversion"/>
  </si>
  <si>
    <t>n100w DC34</t>
    <phoneticPr fontId="13" type="noConversion"/>
  </si>
  <si>
    <t>Kp</t>
    <phoneticPr fontId="12" type="noConversion"/>
  </si>
  <si>
    <t>TURNIGY Plush 40amp</t>
    <phoneticPr fontId="12" type="noConversion"/>
  </si>
  <si>
    <t>Gaui 344</t>
    <phoneticPr fontId="12" type="noConversion"/>
  </si>
  <si>
    <t>FrSky</t>
    <phoneticPr fontId="12" type="noConversion"/>
  </si>
  <si>
    <t>total</t>
    <phoneticPr fontId="12" type="noConversion"/>
  </si>
  <si>
    <t>estimation hexa</t>
    <phoneticPr fontId="12" type="noConversion"/>
  </si>
  <si>
    <t>Hobbyking S650 Glass Fiber Hexcopter Frame 655mm</t>
  </si>
  <si>
    <t>capacité</t>
    <phoneticPr fontId="12" type="noConversion"/>
  </si>
  <si>
    <t>poids LiPo</t>
    <phoneticPr fontId="12" type="noConversion"/>
  </si>
  <si>
    <t>grs</t>
    <phoneticPr fontId="12" type="noConversion"/>
  </si>
  <si>
    <t>Turnigy Multistar 4225-390Kv 16 Poles Multi-Rotor Outrunner</t>
  </si>
  <si>
    <t>F calculé</t>
  </si>
  <si>
    <t>Kv</t>
    <phoneticPr fontId="0" type="noConversion"/>
  </si>
  <si>
    <t>Rb</t>
    <phoneticPr fontId="0" type="noConversion"/>
  </si>
  <si>
    <t>P=2 ∏ M V</t>
    <phoneticPr fontId="0" type="noConversion"/>
  </si>
  <si>
    <t>relevé avec la 13x4 carbon</t>
    <phoneticPr fontId="0" type="noConversion"/>
  </si>
  <si>
    <t>86 grs</t>
    <phoneticPr fontId="12" type="noConversion"/>
  </si>
  <si>
    <t>eff. LiPo</t>
    <phoneticPr fontId="12" type="noConversion"/>
  </si>
  <si>
    <t>Amp</t>
    <phoneticPr fontId="12" type="noConversion"/>
  </si>
  <si>
    <t>grs</t>
    <phoneticPr fontId="12" type="noConversion"/>
  </si>
  <si>
    <t>V4</t>
    <phoneticPr fontId="12" type="noConversion"/>
  </si>
  <si>
    <t>Wh/grs demandés</t>
    <phoneticPr fontId="12" type="noConversion"/>
  </si>
  <si>
    <t>poids machine complète</t>
    <phoneticPr fontId="12" type="noConversion"/>
  </si>
  <si>
    <t>Estimation d'après les données de l'hélice 15x5 DJI dans Drive Calculator 3,4</t>
    <phoneticPr fontId="12" type="noConversion"/>
  </si>
  <si>
    <t>tube 22mm</t>
    <phoneticPr fontId="12" type="noConversion"/>
  </si>
  <si>
    <t>grs</t>
    <phoneticPr fontId="12" type="noConversion"/>
  </si>
  <si>
    <t>Z700-V2 Quadcopter Frame White/Red With Crab Landing Gear (700mm) V2</t>
    <phoneticPr fontId="12" type="noConversion"/>
  </si>
  <si>
    <t>TURNIGY Plush 40amp Speed Controller</t>
  </si>
  <si>
    <t>2 x Turnigy nano-tech 8400mah 3S 40~80C Lipo Pack</t>
    <phoneticPr fontId="12" type="noConversion"/>
  </si>
  <si>
    <t>Estimation d'après les données de l'hélice 12x4,5 HK dans Drive Calculator 3,4</t>
    <phoneticPr fontId="12" type="noConversion"/>
  </si>
  <si>
    <t>watts avec la 13x4</t>
    <phoneticPr fontId="12" type="noConversion"/>
  </si>
  <si>
    <t>100% de gaz</t>
    <phoneticPr fontId="12" type="noConversion"/>
  </si>
  <si>
    <t>Fréquence</t>
    <phoneticPr fontId="12" type="noConversion"/>
  </si>
  <si>
    <t>Hz</t>
    <phoneticPr fontId="12" type="noConversion"/>
  </si>
  <si>
    <r>
      <t>n</t>
    </r>
    <r>
      <rPr>
        <vertAlign val="subscript"/>
        <sz val="10"/>
        <rFont val="Verdana"/>
      </rPr>
      <t>m</t>
    </r>
    <r>
      <rPr>
        <sz val="12"/>
        <color theme="1"/>
        <rFont val="Calibri"/>
        <family val="2"/>
        <scheme val="minor"/>
      </rPr>
      <t>=K</t>
    </r>
    <r>
      <rPr>
        <vertAlign val="subscript"/>
        <sz val="10"/>
        <rFont val="Verdana"/>
      </rPr>
      <t>v</t>
    </r>
    <r>
      <rPr>
        <sz val="12"/>
        <color theme="1"/>
        <rFont val="Calibri"/>
        <family val="2"/>
        <scheme val="minor"/>
      </rPr>
      <t xml:space="preserve"> x (V - I x R</t>
    </r>
    <r>
      <rPr>
        <vertAlign val="subscript"/>
        <sz val="10"/>
        <rFont val="Verdana"/>
      </rPr>
      <t>b</t>
    </r>
    <r>
      <rPr>
        <sz val="12"/>
        <color theme="1"/>
        <rFont val="Calibri"/>
        <family val="2"/>
        <scheme val="minor"/>
      </rPr>
      <t>)</t>
    </r>
  </si>
  <si>
    <t>tension</t>
    <phoneticPr fontId="12" type="noConversion"/>
  </si>
  <si>
    <t>courant</t>
    <phoneticPr fontId="12" type="noConversion"/>
  </si>
  <si>
    <t>Puissance</t>
    <phoneticPr fontId="12" type="noConversion"/>
  </si>
  <si>
    <t>ms</t>
  </si>
  <si>
    <t>RPM</t>
  </si>
  <si>
    <t>grs</t>
  </si>
  <si>
    <t>13x6,5</t>
  </si>
  <si>
    <t>14x4,7</t>
  </si>
  <si>
    <t>13x4</t>
  </si>
  <si>
    <t>Amp</t>
  </si>
  <si>
    <t>Watts</t>
  </si>
  <si>
    <t>pertes moteur</t>
    <phoneticPr fontId="0" type="noConversion"/>
  </si>
  <si>
    <t>rendement moteur</t>
    <phoneticPr fontId="0" type="noConversion"/>
  </si>
  <si>
    <t>grs/w</t>
    <phoneticPr fontId="0" type="noConversion"/>
  </si>
  <si>
    <t>relevé avec la 13x6,5 carbon</t>
    <phoneticPr fontId="0" type="noConversion"/>
  </si>
  <si>
    <t>5017-620KV Turnigy Multi-Rotor</t>
    <phoneticPr fontId="0" type="noConversion"/>
  </si>
  <si>
    <t>poids machine</t>
    <phoneticPr fontId="12" type="noConversion"/>
  </si>
  <si>
    <t>vide</t>
    <phoneticPr fontId="12" type="noConversion"/>
  </si>
  <si>
    <t>chargé</t>
    <phoneticPr fontId="12" type="noConversion"/>
  </si>
  <si>
    <t>Pour faire mieux, il faudrait des hélices plus grandes et des moteurs avec un Kv inférieur.</t>
    <phoneticPr fontId="12" type="noConversion"/>
  </si>
  <si>
    <t>poids LiPo</t>
  </si>
  <si>
    <t>poids LiPo</t>
    <phoneticPr fontId="12" type="noConversion"/>
  </si>
  <si>
    <t>LiPo</t>
    <phoneticPr fontId="12" type="noConversion"/>
  </si>
  <si>
    <t>4S</t>
    <phoneticPr fontId="12" type="noConversion"/>
  </si>
  <si>
    <t>20C</t>
    <phoneticPr fontId="12" type="noConversion"/>
  </si>
  <si>
    <t>65-130C</t>
    <phoneticPr fontId="12" type="noConversion"/>
  </si>
  <si>
    <t>LiPo (mAh)</t>
    <phoneticPr fontId="12" type="noConversion"/>
  </si>
  <si>
    <t>durée vol (min)</t>
    <phoneticPr fontId="12" type="noConversion"/>
  </si>
  <si>
    <t>utilisation (%)</t>
    <phoneticPr fontId="12" type="noConversion"/>
  </si>
  <si>
    <t>Lipo (nS)</t>
    <phoneticPr fontId="12" type="noConversion"/>
  </si>
  <si>
    <t>V (Volts)</t>
    <phoneticPr fontId="12" type="noConversion"/>
  </si>
  <si>
    <t>courant</t>
  </si>
  <si>
    <t>Pin</t>
  </si>
  <si>
    <t>rendement moteur</t>
  </si>
  <si>
    <t>efficacité</t>
  </si>
  <si>
    <t>tension</t>
  </si>
  <si>
    <t>Turnigy Multistar 4010-375Kv 22 Poles Multi-Rotor Outrunner</t>
    <phoneticPr fontId="12" type="noConversion"/>
  </si>
  <si>
    <t>moteur</t>
    <phoneticPr fontId="12" type="noConversion"/>
  </si>
  <si>
    <t>poids</t>
    <phoneticPr fontId="12" type="noConversion"/>
  </si>
  <si>
    <t>puissance</t>
    <phoneticPr fontId="12" type="noConversion"/>
  </si>
  <si>
    <t>Turnigy Multistar 4010-485KV 22 Pole Brushless</t>
    <phoneticPr fontId="12" type="noConversion"/>
  </si>
  <si>
    <t>demi-lune</t>
    <phoneticPr fontId="12" type="noConversion"/>
  </si>
  <si>
    <t>grs</t>
    <phoneticPr fontId="12" type="noConversion"/>
  </si>
  <si>
    <t>demi-lunes</t>
    <phoneticPr fontId="12" type="noConversion"/>
  </si>
  <si>
    <t>CTP</t>
    <phoneticPr fontId="12" type="noConversion"/>
  </si>
  <si>
    <t>24 vis M3</t>
    <phoneticPr fontId="12" type="noConversion"/>
  </si>
  <si>
    <t>8 vis M3</t>
    <phoneticPr fontId="12" type="noConversion"/>
  </si>
  <si>
    <t>vis M3 50mm</t>
    <phoneticPr fontId="12" type="noConversion"/>
  </si>
  <si>
    <t>vis M3 25mm</t>
    <phoneticPr fontId="12" type="noConversion"/>
  </si>
  <si>
    <t>Turnigy Multistar 4010-375Kv 22 Poles Multi-Rotor Outrunner</t>
    <phoneticPr fontId="12" type="noConversion"/>
  </si>
  <si>
    <t>Turnigy Multistar 4225-390Kv 16 Poles Multi-Rotor Outrunner</t>
    <phoneticPr fontId="12" type="noConversion"/>
  </si>
  <si>
    <t>évolution au cube du poids</t>
    <phoneticPr fontId="12" type="noConversion"/>
  </si>
  <si>
    <t>et proportionnellement au diamètre</t>
    <phoneticPr fontId="12" type="noConversion"/>
  </si>
  <si>
    <t>4225-390Kv</t>
    <phoneticPr fontId="12" type="noConversion"/>
  </si>
  <si>
    <t>estimé sur base de la quantité d'air propulsée</t>
    <phoneticPr fontId="12" type="noConversion"/>
  </si>
  <si>
    <t>inverssément proportionnelle au Nb de moteurs</t>
    <phoneticPr fontId="12" type="noConversion"/>
  </si>
  <si>
    <t>D</t>
    <phoneticPr fontId="12" type="noConversion"/>
  </si>
  <si>
    <t>en charge</t>
    <phoneticPr fontId="12" type="noConversion"/>
  </si>
  <si>
    <t>maxi</t>
    <phoneticPr fontId="12" type="noConversion"/>
  </si>
  <si>
    <t>Turnigy Multistar 4822-390Kv 22 Poles Multi-Rotor Outrunner</t>
    <phoneticPr fontId="12" type="noConversion"/>
  </si>
  <si>
    <t>mAh</t>
    <phoneticPr fontId="12" type="noConversion"/>
  </si>
  <si>
    <r>
      <t>P</t>
    </r>
    <r>
      <rPr>
        <vertAlign val="subscript"/>
        <sz val="12"/>
        <color indexed="8"/>
        <rFont val="Calibri"/>
      </rPr>
      <t>m</t>
    </r>
    <r>
      <rPr>
        <sz val="12"/>
        <color theme="1"/>
        <rFont val="Calibri"/>
        <family val="2"/>
        <scheme val="minor"/>
      </rPr>
      <t xml:space="preserve"> (Watts)</t>
    </r>
    <phoneticPr fontId="12" type="noConversion"/>
  </si>
  <si>
    <t>S</t>
    <phoneticPr fontId="12" type="noConversion"/>
  </si>
  <si>
    <t>V en trs/sec</t>
    <phoneticPr fontId="0" type="noConversion"/>
  </si>
  <si>
    <t>traction</t>
    <phoneticPr fontId="0" type="noConversion"/>
  </si>
  <si>
    <t>relevé à l'oscilloscope</t>
    <phoneticPr fontId="12" type="noConversion"/>
  </si>
  <si>
    <t>1 période</t>
    <phoneticPr fontId="12" type="noConversion"/>
  </si>
  <si>
    <t>RPM 14 poles</t>
    <phoneticPr fontId="12" type="noConversion"/>
  </si>
  <si>
    <t>hélice</t>
    <phoneticPr fontId="12" type="noConversion"/>
  </si>
  <si>
    <t>diamètre</t>
    <phoneticPr fontId="12" type="noConversion"/>
  </si>
  <si>
    <t>Rc</t>
    <phoneticPr fontId="12" type="noConversion"/>
  </si>
  <si>
    <t>Ph selon</t>
    <phoneticPr fontId="12" type="noConversion"/>
  </si>
  <si>
    <t>n100W</t>
    <phoneticPr fontId="12" type="noConversion"/>
  </si>
  <si>
    <t>J'ai adapté les valeurs en jaune pour coller à la réalité</t>
    <phoneticPr fontId="12" type="noConversion"/>
  </si>
  <si>
    <t>mesure à</t>
  </si>
  <si>
    <t>mesure à</t>
    <phoneticPr fontId="12" type="noConversion"/>
  </si>
  <si>
    <t>%</t>
    <phoneticPr fontId="12" type="noConversion"/>
  </si>
  <si>
    <t>le Kp et le Kv augmente le courant Rb et Rc le diminue</t>
    <phoneticPr fontId="12" type="noConversion"/>
  </si>
  <si>
    <t>Ils sont dans les cellules jaune pâle.</t>
    <phoneticPr fontId="12" type="noConversion"/>
  </si>
  <si>
    <t>Gaz</t>
    <phoneticPr fontId="0" type="noConversion"/>
  </si>
  <si>
    <t>eff. mécanique</t>
    <phoneticPr fontId="0" type="noConversion"/>
  </si>
  <si>
    <t>diamètre</t>
    <phoneticPr fontId="12" type="noConversion"/>
  </si>
  <si>
    <t>P élec</t>
    <phoneticPr fontId="12" type="noConversion"/>
  </si>
  <si>
    <r>
      <t>ATTENTION I</t>
    </r>
    <r>
      <rPr>
        <b/>
        <vertAlign val="subscript"/>
        <sz val="16"/>
        <color indexed="8"/>
        <rFont val="Calibri"/>
      </rPr>
      <t>0</t>
    </r>
    <r>
      <rPr>
        <b/>
        <sz val="16"/>
        <color indexed="8"/>
        <rFont val="Calibri"/>
      </rPr>
      <t xml:space="preserve"> et Rb ne sont pas des données fournies</t>
    </r>
    <phoneticPr fontId="12" type="noConversion"/>
  </si>
  <si>
    <t>V</t>
    <phoneticPr fontId="12" type="noConversion"/>
  </si>
  <si>
    <t>Turnigy AX2810Q-750Kv</t>
    <phoneticPr fontId="12" type="noConversion"/>
  </si>
  <si>
    <t>courant</t>
    <phoneticPr fontId="0" type="noConversion"/>
  </si>
  <si>
    <t>ZIPPY Compact 5800mAh 5S 25C</t>
  </si>
  <si>
    <t>n100W</t>
    <phoneticPr fontId="12" type="noConversion"/>
  </si>
  <si>
    <r>
      <t>I</t>
    </r>
    <r>
      <rPr>
        <vertAlign val="subscript"/>
        <sz val="10"/>
        <rFont val="Verdana"/>
      </rPr>
      <t>max</t>
    </r>
    <r>
      <rPr>
        <sz val="12"/>
        <color theme="1"/>
        <rFont val="Calibri"/>
        <family val="2"/>
        <scheme val="minor"/>
      </rPr>
      <t/>
    </r>
    <phoneticPr fontId="12" type="noConversion"/>
  </si>
  <si>
    <t>n100w DC34</t>
    <phoneticPr fontId="13" type="noConversion"/>
  </si>
  <si>
    <t>Kp</t>
    <phoneticPr fontId="12" type="noConversion"/>
  </si>
  <si>
    <t>32 vis M3</t>
    <phoneticPr fontId="12" type="noConversion"/>
  </si>
  <si>
    <t>serre-tube</t>
    <phoneticPr fontId="12" type="noConversion"/>
  </si>
  <si>
    <t>alésage 22mm</t>
    <phoneticPr fontId="12" type="noConversion"/>
  </si>
  <si>
    <t>alésages 3mm</t>
    <phoneticPr fontId="12" type="noConversion"/>
  </si>
  <si>
    <t>base coupée</t>
    <phoneticPr fontId="12" type="noConversion"/>
  </si>
  <si>
    <t>(2 pièces)</t>
    <phoneticPr fontId="12" type="noConversion"/>
  </si>
  <si>
    <t>carbone</t>
    <phoneticPr fontId="12" type="noConversion"/>
  </si>
  <si>
    <t>acier</t>
    <phoneticPr fontId="12" type="noConversion"/>
  </si>
  <si>
    <t>Estimation d'après les données de l'hélice 14x4,7</t>
    <phoneticPr fontId="12" type="noConversion"/>
  </si>
  <si>
    <t>Estimation d'après les données de l'hélice 14x4,7</t>
    <phoneticPr fontId="12" type="noConversion"/>
  </si>
  <si>
    <t>Estimation d'après les données de l'hélice 13x4</t>
    <phoneticPr fontId="12" type="noConversion"/>
  </si>
  <si>
    <t>machine perso</t>
    <phoneticPr fontId="12" type="noConversion"/>
  </si>
  <si>
    <r>
      <t>ATTENTION Rb</t>
    </r>
    <r>
      <rPr>
        <b/>
        <sz val="16"/>
        <color indexed="8"/>
        <rFont val="Calibri"/>
      </rPr>
      <t xml:space="preserve"> n'est pas une donnée fournie</t>
    </r>
    <phoneticPr fontId="12" type="noConversion"/>
  </si>
  <si>
    <t>Estimation d'après les données de l'hélice 13x4</t>
    <phoneticPr fontId="12" type="noConversion"/>
  </si>
  <si>
    <r>
      <t>Pt</t>
    </r>
    <r>
      <rPr>
        <vertAlign val="subscript"/>
        <sz val="12"/>
        <color indexed="8"/>
        <rFont val="Calibri"/>
      </rPr>
      <t>max</t>
    </r>
    <phoneticPr fontId="12" type="noConversion"/>
  </si>
  <si>
    <t>coef adapt</t>
    <phoneticPr fontId="12" type="noConversion"/>
  </si>
  <si>
    <t>temps vol 5Ah à 4 moteurs</t>
    <phoneticPr fontId="12" type="noConversion"/>
  </si>
  <si>
    <t>poids</t>
    <phoneticPr fontId="12" type="noConversion"/>
  </si>
  <si>
    <t>128 grs</t>
    <phoneticPr fontId="12" type="noConversion"/>
  </si>
  <si>
    <t>102 grs</t>
    <phoneticPr fontId="12" type="noConversion"/>
  </si>
  <si>
    <t>poids</t>
    <phoneticPr fontId="12" type="noConversion"/>
  </si>
  <si>
    <t>Efficacité à obtenir à l'hélice en fonction de la force à la machine (poids)</t>
    <phoneticPr fontId="12" type="noConversion"/>
  </si>
  <si>
    <t>Force (grs)</t>
    <phoneticPr fontId="12" type="noConversion"/>
  </si>
  <si>
    <t>temps (min)</t>
    <phoneticPr fontId="12" type="noConversion"/>
  </si>
  <si>
    <t>5017-620KV Turnigy Multi-Rotor Motor With Extra Long Leads</t>
    <phoneticPr fontId="0" type="noConversion"/>
  </si>
  <si>
    <t>alu</t>
    <phoneticPr fontId="12" type="noConversion"/>
  </si>
  <si>
    <t>coins coupés</t>
    <phoneticPr fontId="12" type="noConversion"/>
  </si>
  <si>
    <t>Avec la 13x4, c'est le 4225-390KV qui donne le meilleur résultat</t>
    <phoneticPr fontId="12" type="noConversion"/>
  </si>
  <si>
    <t>Turnigy Multistar 45 Amp Multi-rotor Brushless ESC 2-6S</t>
  </si>
  <si>
    <t>58 grs</t>
    <phoneticPr fontId="12" type="noConversion"/>
  </si>
  <si>
    <t>Ph élec</t>
    <phoneticPr fontId="12" type="noConversion"/>
  </si>
  <si>
    <t>Ph méca</t>
    <phoneticPr fontId="12" type="noConversion"/>
  </si>
  <si>
    <t>Turnigy AX2810Q-750Kv</t>
    <phoneticPr fontId="12" type="noConversion"/>
  </si>
  <si>
    <t>4 x Turnigy nano-tech 5000mah 3S 65~130C Lipo Pack</t>
    <phoneticPr fontId="12" type="noConversion"/>
  </si>
  <si>
    <t>grs</t>
    <phoneticPr fontId="12" type="noConversion"/>
  </si>
  <si>
    <t>Turnigy 5800mAh 6S 25C</t>
    <phoneticPr fontId="12" type="noConversion"/>
  </si>
  <si>
    <t>Turnigy nano-tech 8000mAh 5S 25~50C</t>
  </si>
  <si>
    <t>Turnigy 5800mAh 4S 25C</t>
  </si>
  <si>
    <t>traction</t>
    <phoneticPr fontId="12" type="noConversion"/>
  </si>
  <si>
    <t>Turnigy nano-tech 6000mah 3S 25~50C</t>
  </si>
  <si>
    <t>Turnigy nano-tech 3300mah 6S 25~50C</t>
  </si>
  <si>
    <t>temps vol à 4 moteurs</t>
  </si>
  <si>
    <t>temps vol à 4 moteurs</t>
    <phoneticPr fontId="12" type="noConversion"/>
  </si>
  <si>
    <t>ZIPPY Flightmax 2650mAh 6S1P 20C</t>
  </si>
  <si>
    <t>ZIPPY Flightmax 3000mAh 6S1P 20C</t>
  </si>
  <si>
    <t>détermination des valeurs de Rb et Kv en fonction des valeurs relevées par les essais hélices</t>
  </si>
  <si>
    <t>5000mAh</t>
    <phoneticPr fontId="12" type="noConversion"/>
  </si>
  <si>
    <t>Wh/grs</t>
    <phoneticPr fontId="12" type="noConversion"/>
  </si>
  <si>
    <t>efficacité</t>
    <phoneticPr fontId="12" type="noConversion"/>
  </si>
  <si>
    <t>classement</t>
  </si>
  <si>
    <t>Pout (calculé)</t>
    <phoneticPr fontId="0" type="noConversion"/>
  </si>
  <si>
    <t>I</t>
    <phoneticPr fontId="0" type="noConversion"/>
  </si>
  <si>
    <r>
      <t>I x R</t>
    </r>
    <r>
      <rPr>
        <vertAlign val="subscript"/>
        <sz val="10"/>
        <rFont val="Verdana"/>
      </rPr>
      <t>b</t>
    </r>
  </si>
  <si>
    <t>Pas</t>
    <phoneticPr fontId="12" type="noConversion"/>
  </si>
  <si>
    <t>grs</t>
    <phoneticPr fontId="12" type="noConversion"/>
  </si>
  <si>
    <t xml:space="preserve">au lieu de </t>
    <phoneticPr fontId="12" type="noConversion"/>
  </si>
  <si>
    <t>N100W</t>
    <phoneticPr fontId="12" type="noConversion"/>
  </si>
  <si>
    <t>13x4</t>
    <phoneticPr fontId="12" type="noConversion"/>
  </si>
  <si>
    <t>relevé avec la 14x4,7 carbon</t>
  </si>
  <si>
    <t>traction</t>
  </si>
  <si>
    <t>LiPo</t>
    <phoneticPr fontId="12" type="noConversion"/>
  </si>
  <si>
    <t>18x4 Carbon Fiber Propellers for DJI S800 L/H and R/H Rotation (1 pair)</t>
  </si>
  <si>
    <t>total</t>
    <phoneticPr fontId="12" type="noConversion"/>
  </si>
  <si>
    <t>16x5 Carbon fiber propellers to suit the DJI S800 Hexacopters, 1 pair of L/H and R/H rotation.</t>
  </si>
  <si>
    <t>Turnigy Multistar 4225-390Kv 16Pole Multi-Rotor Outrunner</t>
  </si>
  <si>
    <t>(2Pairs) 13x4" Carbon Fiber CW CCW Propellers</t>
    <phoneticPr fontId="12" type="noConversion"/>
  </si>
  <si>
    <t>V3</t>
    <phoneticPr fontId="12" type="noConversion"/>
  </si>
  <si>
    <t>% V LiPo</t>
    <phoneticPr fontId="12" type="noConversion"/>
  </si>
  <si>
    <t>n100w DC34</t>
    <phoneticPr fontId="13" type="noConversion"/>
  </si>
  <si>
    <t>V</t>
    <phoneticPr fontId="12" type="noConversion"/>
  </si>
  <si>
    <t>I</t>
    <phoneticPr fontId="12" type="noConversion"/>
  </si>
  <si>
    <t>Les relevés précédents sont seulement fiables pour la traction, le courant et la puissance</t>
    <phoneticPr fontId="12" type="noConversion"/>
  </si>
  <si>
    <t>Estimation d'après les données de l'hélice 12x4,5 HK dans Drive Calculator 3,4</t>
  </si>
  <si>
    <t>AX-4008Q-620KV Multi-Rotor Outrunner</t>
    <phoneticPr fontId="12" type="noConversion"/>
  </si>
  <si>
    <t>Turnigy Multistar 3508-380Kv 14 Poles Multi-Rotor Outrunner</t>
    <phoneticPr fontId="12" type="noConversion"/>
  </si>
  <si>
    <t>impose un accroissement de puissance au carré et une vitesse de rotation supérieure</t>
    <phoneticPr fontId="12" type="noConversion"/>
  </si>
  <si>
    <t>RPM max</t>
    <phoneticPr fontId="12" type="noConversion"/>
  </si>
  <si>
    <t>trs/min en charge</t>
    <phoneticPr fontId="12" type="noConversion"/>
  </si>
  <si>
    <t xml:space="preserve">soit un KV approximatif de </t>
    <phoneticPr fontId="12" type="noConversion"/>
  </si>
  <si>
    <t>en 4S</t>
    <phoneticPr fontId="12" type="noConversion"/>
  </si>
  <si>
    <t>vide</t>
    <phoneticPr fontId="12" type="noConversion"/>
  </si>
  <si>
    <t>Turnigy 4000mAh 6S 20C</t>
  </si>
  <si>
    <t>Zippy-K Flightmax 2500mah 4S1P 20C</t>
  </si>
  <si>
    <t>Zippy-K Flightmax 3700mah 4S1P 20C</t>
  </si>
  <si>
    <t>Turnigy 4000mAh 4S 20C</t>
  </si>
  <si>
    <t>Evolution durée de vol en fonction de la capacité des LiPo</t>
    <phoneticPr fontId="12" type="noConversion"/>
  </si>
  <si>
    <t>tube 18mm</t>
    <phoneticPr fontId="12" type="noConversion"/>
  </si>
  <si>
    <t>tube 18mm</t>
    <phoneticPr fontId="12" type="noConversion"/>
  </si>
  <si>
    <t>carbone</t>
  </si>
  <si>
    <t>carbone</t>
    <phoneticPr fontId="12" type="noConversion"/>
  </si>
  <si>
    <t>alésage 18mm</t>
    <phoneticPr fontId="12" type="noConversion"/>
  </si>
  <si>
    <t>train</t>
    <phoneticPr fontId="12" type="noConversion"/>
  </si>
  <si>
    <t>Puissane autorisée par moteur pour voler un temps</t>
    <phoneticPr fontId="12" type="noConversion"/>
  </si>
  <si>
    <t>alu</t>
    <phoneticPr fontId="12" type="noConversion"/>
  </si>
  <si>
    <t>plaque centrale</t>
    <phoneticPr fontId="12" type="noConversion"/>
  </si>
  <si>
    <t>trou central</t>
    <phoneticPr fontId="12" type="noConversion"/>
  </si>
  <si>
    <t>ajourages</t>
    <phoneticPr fontId="12" type="noConversion"/>
  </si>
  <si>
    <t>surface</t>
    <phoneticPr fontId="12" type="noConversion"/>
  </si>
  <si>
    <t>volume</t>
    <phoneticPr fontId="12" type="noConversion"/>
  </si>
  <si>
    <t>poids machine sans propulsion</t>
    <phoneticPr fontId="12" type="noConversion"/>
  </si>
  <si>
    <t>machine perso</t>
    <phoneticPr fontId="12" type="noConversion"/>
  </si>
  <si>
    <t>V0</t>
    <phoneticPr fontId="12" type="noConversion"/>
  </si>
  <si>
    <t>V1</t>
    <phoneticPr fontId="12" type="noConversion"/>
  </si>
  <si>
    <t>fibre verre</t>
    <phoneticPr fontId="12" type="noConversion"/>
  </si>
  <si>
    <t>V6</t>
    <phoneticPr fontId="12" type="noConversion"/>
  </si>
  <si>
    <t>surface plaques verticales</t>
    <phoneticPr fontId="12" type="noConversion"/>
  </si>
  <si>
    <t>règles verticales</t>
    <phoneticPr fontId="12" type="noConversion"/>
  </si>
  <si>
    <t>CTP</t>
    <phoneticPr fontId="12" type="noConversion"/>
  </si>
  <si>
    <t>Estimation d'après les données de l'hélice 13x6,5</t>
    <phoneticPr fontId="12" type="noConversion"/>
  </si>
  <si>
    <t>E-Flight 25amp</t>
    <phoneticPr fontId="12" type="noConversion"/>
  </si>
  <si>
    <t>E-flight 25Amp</t>
    <phoneticPr fontId="12" type="noConversion"/>
  </si>
  <si>
    <r>
      <t>I</t>
    </r>
    <r>
      <rPr>
        <vertAlign val="subscript"/>
        <sz val="10"/>
        <rFont val="Verdana"/>
      </rPr>
      <t>max</t>
    </r>
    <r>
      <rPr>
        <sz val="12"/>
        <color theme="1"/>
        <rFont val="Calibri"/>
        <family val="2"/>
        <scheme val="minor"/>
      </rPr>
      <t/>
    </r>
    <phoneticPr fontId="12" type="noConversion"/>
  </si>
  <si>
    <t>Estimation du Kv d'un tel moteur:</t>
    <phoneticPr fontId="12" type="noConversion"/>
  </si>
  <si>
    <t>rpm</t>
    <phoneticPr fontId="12" type="noConversion"/>
  </si>
  <si>
    <t>4225-390Kv</t>
    <phoneticPr fontId="12" type="noConversion"/>
  </si>
  <si>
    <t>moteur ?</t>
    <phoneticPr fontId="12" type="noConversion"/>
  </si>
  <si>
    <t>%</t>
    <phoneticPr fontId="12" type="noConversion"/>
  </si>
  <si>
    <t>puissace</t>
    <phoneticPr fontId="12" type="noConversion"/>
  </si>
  <si>
    <t>poids à vide</t>
    <phoneticPr fontId="12" type="noConversion"/>
  </si>
  <si>
    <t>poids chargé</t>
    <phoneticPr fontId="12" type="noConversion"/>
  </si>
  <si>
    <t>porte-moteur</t>
    <phoneticPr fontId="12" type="noConversion"/>
  </si>
  <si>
    <t>grs</t>
    <phoneticPr fontId="12" type="noConversion"/>
  </si>
  <si>
    <t>Ah/moteur</t>
  </si>
  <si>
    <t>Imax charge</t>
    <phoneticPr fontId="12" type="noConversion"/>
  </si>
  <si>
    <t xml:space="preserve"> </t>
    <phoneticPr fontId="12" type="noConversion"/>
  </si>
  <si>
    <t>coef adapt</t>
    <phoneticPr fontId="12" type="noConversion"/>
  </si>
  <si>
    <t>Ph selon</t>
    <phoneticPr fontId="12" type="noConversion"/>
  </si>
  <si>
    <t>Ph selon</t>
    <phoneticPr fontId="12" type="noConversion"/>
  </si>
  <si>
    <t>diamètre</t>
    <phoneticPr fontId="12" type="noConversion"/>
  </si>
  <si>
    <t>16x5</t>
    <phoneticPr fontId="12" type="noConversion"/>
  </si>
  <si>
    <t>RPM</t>
    <phoneticPr fontId="12" type="noConversion"/>
  </si>
  <si>
    <t>un rapport de 1,63 en traction (comme pour les autres calculs jusqu'ici)</t>
    <phoneticPr fontId="12" type="noConversion"/>
  </si>
  <si>
    <r>
      <t>ATTENTION Rb et I</t>
    </r>
    <r>
      <rPr>
        <b/>
        <vertAlign val="subscript"/>
        <sz val="16"/>
        <color indexed="8"/>
        <rFont val="Calibri"/>
      </rPr>
      <t>0</t>
    </r>
    <r>
      <rPr>
        <b/>
        <sz val="16"/>
        <color indexed="8"/>
        <rFont val="Calibri"/>
      </rPr>
      <t xml:space="preserve"> ne  sont pas des données fournies</t>
    </r>
    <phoneticPr fontId="12" type="noConversion"/>
  </si>
  <si>
    <t>Capacité</t>
    <phoneticPr fontId="12" type="noConversion"/>
  </si>
  <si>
    <t>mAh</t>
    <phoneticPr fontId="12" type="noConversion"/>
  </si>
  <si>
    <t>temps vol 5Ah à 4 moteurs</t>
  </si>
  <si>
    <t xml:space="preserve">Utile à </t>
    <phoneticPr fontId="12" type="noConversion"/>
  </si>
  <si>
    <t>%</t>
    <phoneticPr fontId="12" type="noConversion"/>
  </si>
  <si>
    <t>grs</t>
    <phoneticPr fontId="12" type="noConversion"/>
  </si>
  <si>
    <t>mAh/moteur</t>
  </si>
  <si>
    <t>mAh/moteur</t>
    <phoneticPr fontId="12" type="noConversion"/>
  </si>
  <si>
    <t>temps vol à 4 moteurs</t>
    <phoneticPr fontId="12" type="noConversion"/>
  </si>
  <si>
    <t>à 65%</t>
  </si>
  <si>
    <t>à 65%</t>
    <phoneticPr fontId="12" type="noConversion"/>
  </si>
  <si>
    <t xml:space="preserve">les moteur coûteraient 5 x plus pour un gain de </t>
    <phoneticPr fontId="12" type="noConversion"/>
  </si>
  <si>
    <t xml:space="preserve"> -----------&gt;</t>
    <phoneticPr fontId="12" type="noConversion"/>
  </si>
  <si>
    <t>18x4</t>
    <phoneticPr fontId="12" type="noConversion"/>
  </si>
  <si>
    <t>Turnigy 9014 135kv Brushless Multi-Rotor Motor</t>
  </si>
  <si>
    <t>V5</t>
    <phoneticPr fontId="12" type="noConversion"/>
  </si>
  <si>
    <t>alésage 14mm</t>
    <phoneticPr fontId="12" type="noConversion"/>
  </si>
  <si>
    <t>tube 14mm</t>
    <phoneticPr fontId="12" type="noConversion"/>
  </si>
  <si>
    <t>16 vis M3</t>
    <phoneticPr fontId="12" type="noConversion"/>
  </si>
  <si>
    <t>On peut maintenant calculer pour différentes tensions</t>
    <phoneticPr fontId="12" type="noConversion"/>
  </si>
  <si>
    <t>V</t>
    <phoneticPr fontId="12" type="noConversion"/>
  </si>
  <si>
    <t>I</t>
    <phoneticPr fontId="12" type="noConversion"/>
  </si>
  <si>
    <t>P élec</t>
    <phoneticPr fontId="12" type="noConversion"/>
  </si>
  <si>
    <t>F calculé</t>
    <phoneticPr fontId="12" type="noConversion"/>
  </si>
</sst>
</file>

<file path=xl/styles.xml><?xml version="1.0" encoding="utf-8"?>
<styleSheet xmlns="http://schemas.openxmlformats.org/spreadsheetml/2006/main">
  <fonts count="27">
    <font>
      <sz val="12"/>
      <color theme="1"/>
      <name val="Calibri"/>
      <family val="2"/>
      <scheme val="minor"/>
    </font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name val="Verdana"/>
    </font>
    <font>
      <b/>
      <sz val="12"/>
      <name val="Verdana"/>
    </font>
    <font>
      <vertAlign val="subscript"/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sz val="12"/>
      <color indexed="8"/>
      <name val="Calibri"/>
      <family val="2"/>
    </font>
    <font>
      <b/>
      <sz val="14"/>
      <color indexed="8"/>
      <name val="Calibri"/>
    </font>
    <font>
      <vertAlign val="superscript"/>
      <sz val="10"/>
      <name val="Verdana"/>
    </font>
    <font>
      <vertAlign val="subscript"/>
      <sz val="12"/>
      <color indexed="8"/>
      <name val="Calibri"/>
    </font>
    <font>
      <sz val="12"/>
      <color indexed="9"/>
      <name val="Calibri"/>
    </font>
    <font>
      <sz val="12"/>
      <name val="Calibri"/>
    </font>
    <font>
      <b/>
      <sz val="12"/>
      <color indexed="8"/>
      <name val="Calibri"/>
    </font>
    <font>
      <b/>
      <sz val="16"/>
      <color indexed="8"/>
      <name val="Calibri"/>
    </font>
    <font>
      <b/>
      <vertAlign val="subscript"/>
      <sz val="16"/>
      <color indexed="8"/>
      <name val="Calibri"/>
    </font>
    <font>
      <sz val="12"/>
      <color indexed="10"/>
      <name val="Calibri"/>
    </font>
    <font>
      <b/>
      <sz val="12"/>
      <color indexed="8"/>
      <name val="Verdana"/>
    </font>
    <font>
      <u/>
      <sz val="12"/>
      <color indexed="12"/>
      <name val="Calibri"/>
      <family val="2"/>
    </font>
    <font>
      <b/>
      <sz val="12"/>
      <name val="Calibri"/>
    </font>
    <font>
      <b/>
      <sz val="14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8">
    <xf numFmtId="0" fontId="0" fillId="0" borderId="0" xfId="0"/>
    <xf numFmtId="0" fontId="7" fillId="0" borderId="0" xfId="0" applyFont="1"/>
    <xf numFmtId="0" fontId="0" fillId="0" borderId="0" xfId="0" applyFill="1"/>
    <xf numFmtId="0" fontId="8" fillId="2" borderId="0" xfId="0" applyFont="1" applyFill="1"/>
    <xf numFmtId="0" fontId="0" fillId="2" borderId="0" xfId="0" applyFill="1"/>
    <xf numFmtId="0" fontId="0" fillId="3" borderId="0" xfId="0" applyFill="1"/>
    <xf numFmtId="0" fontId="10" fillId="0" borderId="0" xfId="0" applyFont="1" applyFill="1" applyBorder="1"/>
    <xf numFmtId="0" fontId="0" fillId="4" borderId="0" xfId="0" applyFill="1"/>
    <xf numFmtId="0" fontId="0" fillId="5" borderId="0" xfId="0" applyFill="1"/>
    <xf numFmtId="0" fontId="0" fillId="0" borderId="0" xfId="0" applyFill="1" applyBorder="1"/>
    <xf numFmtId="0" fontId="11" fillId="3" borderId="0" xfId="0" applyFont="1" applyFill="1" applyBorder="1"/>
    <xf numFmtId="0" fontId="0" fillId="3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3" borderId="1" xfId="0" applyFill="1" applyBorder="1"/>
    <xf numFmtId="0" fontId="0" fillId="0" borderId="5" xfId="0" applyFill="1" applyBorder="1"/>
    <xf numFmtId="0" fontId="0" fillId="3" borderId="6" xfId="0" applyFill="1" applyBorder="1"/>
    <xf numFmtId="0" fontId="0" fillId="0" borderId="7" xfId="0" applyFill="1" applyBorder="1"/>
    <xf numFmtId="0" fontId="0" fillId="0" borderId="8" xfId="0" applyFill="1" applyBorder="1"/>
    <xf numFmtId="0" fontId="13" fillId="0" borderId="0" xfId="0" applyFont="1"/>
    <xf numFmtId="0" fontId="14" fillId="0" borderId="0" xfId="0" applyFont="1"/>
    <xf numFmtId="0" fontId="14" fillId="6" borderId="12" xfId="0" applyFont="1" applyFill="1" applyBorder="1"/>
    <xf numFmtId="0" fontId="0" fillId="6" borderId="13" xfId="0" applyFill="1" applyBorder="1"/>
    <xf numFmtId="0" fontId="0" fillId="6" borderId="14" xfId="0" applyFill="1" applyBorder="1"/>
    <xf numFmtId="0" fontId="14" fillId="6" borderId="9" xfId="0" applyFont="1" applyFill="1" applyBorder="1"/>
    <xf numFmtId="0" fontId="0" fillId="6" borderId="10" xfId="0" applyFill="1" applyBorder="1"/>
    <xf numFmtId="0" fontId="0" fillId="6" borderId="11" xfId="0" applyFill="1" applyBorder="1"/>
    <xf numFmtId="0" fontId="0" fillId="7" borderId="0" xfId="0" applyFill="1"/>
    <xf numFmtId="0" fontId="0" fillId="7" borderId="0" xfId="0" applyFill="1" applyBorder="1"/>
    <xf numFmtId="0" fontId="0" fillId="7" borderId="5" xfId="0" applyFill="1" applyBorder="1"/>
    <xf numFmtId="0" fontId="13" fillId="0" borderId="0" xfId="0" applyFont="1"/>
    <xf numFmtId="0" fontId="4" fillId="0" borderId="0" xfId="0" applyFont="1"/>
    <xf numFmtId="0" fontId="17" fillId="8" borderId="0" xfId="0" applyFont="1" applyFill="1" applyBorder="1"/>
    <xf numFmtId="0" fontId="17" fillId="8" borderId="0" xfId="0" applyFont="1" applyFill="1"/>
    <xf numFmtId="0" fontId="17" fillId="9" borderId="0" xfId="0" applyFont="1" applyFill="1"/>
    <xf numFmtId="0" fontId="17" fillId="8" borderId="1" xfId="0" applyFont="1" applyFill="1" applyBorder="1"/>
    <xf numFmtId="0" fontId="18" fillId="0" borderId="0" xfId="0" applyFont="1" applyFill="1" applyBorder="1"/>
    <xf numFmtId="0" fontId="18" fillId="0" borderId="5" xfId="0" applyFont="1" applyFill="1" applyBorder="1"/>
    <xf numFmtId="0" fontId="18" fillId="0" borderId="0" xfId="0" applyFont="1" applyFill="1"/>
    <xf numFmtId="0" fontId="0" fillId="10" borderId="15" xfId="0" applyFill="1" applyBorder="1"/>
    <xf numFmtId="0" fontId="0" fillId="0" borderId="16" xfId="0" applyFill="1" applyBorder="1"/>
    <xf numFmtId="0" fontId="0" fillId="7" borderId="16" xfId="0" applyFill="1" applyBorder="1"/>
    <xf numFmtId="0" fontId="0" fillId="10" borderId="16" xfId="0" applyFill="1" applyBorder="1"/>
    <xf numFmtId="0" fontId="0" fillId="10" borderId="17" xfId="0" applyFill="1" applyBorder="1"/>
    <xf numFmtId="0" fontId="0" fillId="0" borderId="1" xfId="0" applyFill="1" applyBorder="1"/>
    <xf numFmtId="0" fontId="14" fillId="6" borderId="18" xfId="0" applyFont="1" applyFill="1" applyBorder="1"/>
    <xf numFmtId="0" fontId="0" fillId="6" borderId="0" xfId="0" applyFill="1" applyBorder="1"/>
    <xf numFmtId="0" fontId="0" fillId="6" borderId="19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1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13" fillId="4" borderId="0" xfId="0" applyFont="1" applyFill="1"/>
    <xf numFmtId="0" fontId="18" fillId="3" borderId="1" xfId="0" applyFont="1" applyFill="1" applyBorder="1"/>
    <xf numFmtId="0" fontId="19" fillId="6" borderId="20" xfId="0" applyFont="1" applyFill="1" applyBorder="1"/>
    <xf numFmtId="0" fontId="19" fillId="6" borderId="21" xfId="0" applyFont="1" applyFill="1" applyBorder="1"/>
    <xf numFmtId="0" fontId="19" fillId="6" borderId="22" xfId="0" applyFont="1" applyFill="1" applyBorder="1"/>
    <xf numFmtId="0" fontId="18" fillId="3" borderId="6" xfId="0" applyFont="1" applyFill="1" applyBorder="1"/>
    <xf numFmtId="0" fontId="18" fillId="0" borderId="7" xfId="0" applyFont="1" applyFill="1" applyBorder="1"/>
    <xf numFmtId="0" fontId="18" fillId="0" borderId="8" xfId="0" applyFont="1" applyFill="1" applyBorder="1"/>
    <xf numFmtId="0" fontId="18" fillId="10" borderId="15" xfId="0" applyFont="1" applyFill="1" applyBorder="1"/>
    <xf numFmtId="0" fontId="18" fillId="0" borderId="16" xfId="0" applyFont="1" applyFill="1" applyBorder="1"/>
    <xf numFmtId="0" fontId="18" fillId="10" borderId="16" xfId="0" applyFont="1" applyFill="1" applyBorder="1"/>
    <xf numFmtId="0" fontId="18" fillId="10" borderId="17" xfId="0" applyFont="1" applyFill="1" applyBorder="1"/>
    <xf numFmtId="0" fontId="0" fillId="0" borderId="0" xfId="0" applyBorder="1"/>
    <xf numFmtId="0" fontId="13" fillId="0" borderId="0" xfId="0" applyFont="1"/>
    <xf numFmtId="0" fontId="1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9" fillId="0" borderId="0" xfId="0" applyFont="1"/>
    <xf numFmtId="0" fontId="0" fillId="11" borderId="0" xfId="0" applyFill="1" applyBorder="1"/>
    <xf numFmtId="0" fontId="0" fillId="11" borderId="7" xfId="0" applyFill="1" applyBorder="1"/>
    <xf numFmtId="0" fontId="19" fillId="0" borderId="0" xfId="0" applyFont="1" applyBorder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19" fillId="6" borderId="6" xfId="0" applyFont="1" applyFill="1" applyBorder="1"/>
    <xf numFmtId="0" fontId="19" fillId="6" borderId="7" xfId="0" applyFont="1" applyFill="1" applyBorder="1"/>
    <xf numFmtId="0" fontId="0" fillId="6" borderId="8" xfId="0" applyFill="1" applyBorder="1"/>
    <xf numFmtId="0" fontId="17" fillId="0" borderId="0" xfId="0" applyFont="1" applyFill="1" applyBorder="1"/>
    <xf numFmtId="0" fontId="13" fillId="0" borderId="0" xfId="0" applyFont="1"/>
    <xf numFmtId="0" fontId="0" fillId="6" borderId="21" xfId="0" applyFill="1" applyBorder="1"/>
    <xf numFmtId="0" fontId="0" fillId="6" borderId="22" xfId="0" applyFill="1" applyBorder="1"/>
    <xf numFmtId="0" fontId="17" fillId="0" borderId="0" xfId="0" applyFont="1" applyFill="1"/>
    <xf numFmtId="0" fontId="3" fillId="0" borderId="0" xfId="0" applyFont="1"/>
    <xf numFmtId="0" fontId="3" fillId="3" borderId="0" xfId="0" applyFont="1" applyFill="1" applyBorder="1"/>
    <xf numFmtId="0" fontId="20" fillId="5" borderId="0" xfId="0" applyFont="1" applyFill="1"/>
    <xf numFmtId="0" fontId="0" fillId="3" borderId="0" xfId="0" applyFill="1" applyBorder="1"/>
    <xf numFmtId="0" fontId="17" fillId="9" borderId="0" xfId="0" applyFont="1" applyFill="1" applyBorder="1"/>
    <xf numFmtId="0" fontId="17" fillId="0" borderId="3" xfId="0" applyFont="1" applyFill="1" applyBorder="1"/>
    <xf numFmtId="0" fontId="18" fillId="0" borderId="1" xfId="0" applyFont="1" applyFill="1" applyBorder="1"/>
    <xf numFmtId="0" fontId="3" fillId="0" borderId="0" xfId="0" applyFont="1" applyFill="1"/>
    <xf numFmtId="0" fontId="18" fillId="10" borderId="5" xfId="0" applyFont="1" applyFill="1" applyBorder="1"/>
    <xf numFmtId="0" fontId="18" fillId="10" borderId="8" xfId="0" applyFont="1" applyFill="1" applyBorder="1"/>
    <xf numFmtId="0" fontId="18" fillId="0" borderId="4" xfId="0" applyFont="1" applyFill="1" applyBorder="1"/>
    <xf numFmtId="0" fontId="17" fillId="8" borderId="5" xfId="0" applyFont="1" applyFill="1" applyBorder="1"/>
    <xf numFmtId="0" fontId="13" fillId="0" borderId="0" xfId="0" applyFont="1" applyBorder="1"/>
    <xf numFmtId="0" fontId="17" fillId="9" borderId="5" xfId="0" applyFont="1" applyFill="1" applyBorder="1"/>
    <xf numFmtId="0" fontId="0" fillId="5" borderId="0" xfId="0" applyFill="1" applyBorder="1"/>
    <xf numFmtId="0" fontId="0" fillId="5" borderId="7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3" fillId="0" borderId="0" xfId="0" applyFont="1"/>
    <xf numFmtId="0" fontId="8" fillId="6" borderId="20" xfId="0" applyFont="1" applyFill="1" applyBorder="1"/>
    <xf numFmtId="0" fontId="13" fillId="0" borderId="0" xfId="0" applyFont="1"/>
    <xf numFmtId="0" fontId="18" fillId="10" borderId="0" xfId="0" applyFont="1" applyFill="1" applyBorder="1"/>
    <xf numFmtId="0" fontId="18" fillId="10" borderId="4" xfId="0" applyFont="1" applyFill="1" applyBorder="1"/>
    <xf numFmtId="0" fontId="3" fillId="5" borderId="0" xfId="0" applyFont="1" applyFill="1" applyBorder="1"/>
    <xf numFmtId="0" fontId="22" fillId="0" borderId="0" xfId="0" applyFont="1"/>
    <xf numFmtId="0" fontId="2" fillId="0" borderId="0" xfId="0" applyFont="1" applyFill="1" applyBorder="1"/>
    <xf numFmtId="0" fontId="23" fillId="6" borderId="6" xfId="0" applyFont="1" applyFill="1" applyBorder="1"/>
    <xf numFmtId="0" fontId="18" fillId="4" borderId="15" xfId="0" applyFont="1" applyFill="1" applyBorder="1"/>
    <xf numFmtId="0" fontId="18" fillId="4" borderId="0" xfId="0" applyFont="1" applyFill="1" applyBorder="1"/>
    <xf numFmtId="0" fontId="19" fillId="6" borderId="0" xfId="0" applyFont="1" applyFill="1" applyBorder="1"/>
    <xf numFmtId="0" fontId="0" fillId="6" borderId="5" xfId="0" applyFill="1" applyBorder="1"/>
    <xf numFmtId="0" fontId="13" fillId="0" borderId="0" xfId="0" applyFont="1" applyFill="1" applyBorder="1"/>
    <xf numFmtId="0" fontId="23" fillId="6" borderId="1" xfId="0" applyFont="1" applyFill="1" applyBorder="1"/>
    <xf numFmtId="0" fontId="13" fillId="0" borderId="3" xfId="0" applyFont="1" applyBorder="1"/>
    <xf numFmtId="0" fontId="18" fillId="10" borderId="7" xfId="0" applyFont="1" applyFill="1" applyBorder="1"/>
    <xf numFmtId="0" fontId="0" fillId="4" borderId="0" xfId="0" applyFill="1" applyBorder="1"/>
    <xf numFmtId="0" fontId="0" fillId="10" borderId="0" xfId="0" applyFill="1" applyBorder="1"/>
    <xf numFmtId="0" fontId="0" fillId="10" borderId="7" xfId="0" applyFill="1" applyBorder="1"/>
    <xf numFmtId="0" fontId="13" fillId="0" borderId="5" xfId="0" applyFont="1" applyBorder="1"/>
    <xf numFmtId="0" fontId="13" fillId="0" borderId="2" xfId="0" applyFont="1" applyBorder="1"/>
    <xf numFmtId="0" fontId="13" fillId="0" borderId="1" xfId="0" applyFont="1" applyBorder="1"/>
    <xf numFmtId="0" fontId="13" fillId="0" borderId="6" xfId="0" applyFont="1" applyBorder="1"/>
    <xf numFmtId="0" fontId="0" fillId="6" borderId="23" xfId="0" applyFill="1" applyBorder="1"/>
    <xf numFmtId="0" fontId="18" fillId="6" borderId="1" xfId="0" applyFont="1" applyFill="1" applyBorder="1"/>
    <xf numFmtId="0" fontId="18" fillId="6" borderId="6" xfId="0" applyFont="1" applyFill="1" applyBorder="1"/>
    <xf numFmtId="0" fontId="13" fillId="0" borderId="0" xfId="0" applyFont="1"/>
    <xf numFmtId="0" fontId="13" fillId="0" borderId="0" xfId="0" applyFont="1" applyFill="1" applyBorder="1"/>
    <xf numFmtId="0" fontId="13" fillId="0" borderId="0" xfId="0" applyFont="1"/>
    <xf numFmtId="0" fontId="14" fillId="6" borderId="2" xfId="0" applyFont="1" applyFill="1" applyBorder="1"/>
    <xf numFmtId="0" fontId="14" fillId="6" borderId="1" xfId="0" applyFont="1" applyFill="1" applyBorder="1"/>
    <xf numFmtId="0" fontId="14" fillId="6" borderId="6" xfId="0" applyFont="1" applyFill="1" applyBorder="1"/>
    <xf numFmtId="0" fontId="0" fillId="6" borderId="7" xfId="0" applyFill="1" applyBorder="1"/>
    <xf numFmtId="0" fontId="14" fillId="6" borderId="20" xfId="0" applyFont="1" applyFill="1" applyBorder="1"/>
    <xf numFmtId="0" fontId="24" fillId="0" borderId="0" xfId="1" applyFont="1"/>
    <xf numFmtId="8" fontId="0" fillId="0" borderId="0" xfId="0" applyNumberFormat="1"/>
    <xf numFmtId="0" fontId="13" fillId="0" borderId="0" xfId="0" applyFont="1"/>
    <xf numFmtId="0" fontId="0" fillId="0" borderId="21" xfId="0" applyBorder="1"/>
    <xf numFmtId="0" fontId="0" fillId="0" borderId="22" xfId="0" applyBorder="1"/>
    <xf numFmtId="0" fontId="0" fillId="6" borderId="20" xfId="0" applyFill="1" applyBorder="1"/>
    <xf numFmtId="0" fontId="13" fillId="0" borderId="20" xfId="0" applyFont="1" applyBorder="1"/>
    <xf numFmtId="0" fontId="0" fillId="0" borderId="21" xfId="0" applyFill="1" applyBorder="1"/>
    <xf numFmtId="0" fontId="0" fillId="0" borderId="2" xfId="0" applyFill="1" applyBorder="1"/>
    <xf numFmtId="0" fontId="0" fillId="0" borderId="6" xfId="0" applyFill="1" applyBorder="1"/>
    <xf numFmtId="0" fontId="13" fillId="0" borderId="4" xfId="0" applyFont="1" applyBorder="1"/>
    <xf numFmtId="0" fontId="0" fillId="4" borderId="1" xfId="0" applyFill="1" applyBorder="1"/>
    <xf numFmtId="0" fontId="0" fillId="4" borderId="15" xfId="0" applyFill="1" applyBorder="1"/>
    <xf numFmtId="0" fontId="14" fillId="0" borderId="2" xfId="0" applyFont="1" applyBorder="1"/>
    <xf numFmtId="0" fontId="0" fillId="0" borderId="20" xfId="0" applyBorder="1"/>
    <xf numFmtId="0" fontId="18" fillId="3" borderId="0" xfId="0" applyFont="1" applyFill="1" applyBorder="1"/>
    <xf numFmtId="0" fontId="18" fillId="3" borderId="7" xfId="0" applyFont="1" applyFill="1" applyBorder="1"/>
    <xf numFmtId="0" fontId="18" fillId="5" borderId="0" xfId="0" applyFont="1" applyFill="1" applyBorder="1"/>
    <xf numFmtId="0" fontId="18" fillId="4" borderId="17" xfId="0" applyFont="1" applyFill="1" applyBorder="1"/>
    <xf numFmtId="0" fontId="13" fillId="0" borderId="0" xfId="0" applyFont="1"/>
    <xf numFmtId="0" fontId="13" fillId="0" borderId="0" xfId="0" applyFont="1"/>
    <xf numFmtId="0" fontId="13" fillId="0" borderId="0" xfId="0" applyFont="1"/>
    <xf numFmtId="0" fontId="13" fillId="0" borderId="0" xfId="0" applyFont="1"/>
    <xf numFmtId="0" fontId="13" fillId="0" borderId="0" xfId="0" applyFont="1"/>
    <xf numFmtId="0" fontId="13" fillId="0" borderId="0" xfId="0" applyFont="1"/>
    <xf numFmtId="0" fontId="13" fillId="0" borderId="0" xfId="0" applyFont="1"/>
    <xf numFmtId="0" fontId="13" fillId="0" borderId="0" xfId="0" applyFont="1" applyFill="1" applyBorder="1"/>
    <xf numFmtId="0" fontId="8" fillId="0" borderId="0" xfId="0" applyFont="1" applyFill="1" applyBorder="1"/>
    <xf numFmtId="0" fontId="23" fillId="0" borderId="0" xfId="0" applyFont="1" applyFill="1" applyBorder="1"/>
    <xf numFmtId="0" fontId="19" fillId="0" borderId="0" xfId="0" applyFont="1" applyFill="1" applyBorder="1"/>
    <xf numFmtId="0" fontId="25" fillId="0" borderId="0" xfId="0" applyFont="1" applyFill="1" applyBorder="1"/>
    <xf numFmtId="0" fontId="0" fillId="10" borderId="1" xfId="0" applyFill="1" applyBorder="1"/>
    <xf numFmtId="0" fontId="0" fillId="10" borderId="6" xfId="0" applyFill="1" applyBorder="1"/>
    <xf numFmtId="0" fontId="0" fillId="3" borderId="3" xfId="0" applyFill="1" applyBorder="1"/>
    <xf numFmtId="0" fontId="0" fillId="4" borderId="5" xfId="0" applyFill="1" applyBorder="1"/>
    <xf numFmtId="0" fontId="0" fillId="10" borderId="5" xfId="0" applyFill="1" applyBorder="1"/>
    <xf numFmtId="0" fontId="0" fillId="3" borderId="7" xfId="0" applyFill="1" applyBorder="1"/>
    <xf numFmtId="0" fontId="0" fillId="10" borderId="8" xfId="0" applyFill="1" applyBorder="1"/>
    <xf numFmtId="0" fontId="26" fillId="0" borderId="0" xfId="0" applyFont="1" applyFill="1" applyBorder="1"/>
    <xf numFmtId="0" fontId="13" fillId="0" borderId="0" xfId="0" applyFont="1"/>
    <xf numFmtId="0" fontId="13" fillId="0" borderId="0" xfId="0" applyFont="1" applyFill="1" applyBorder="1"/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Puissance moteur autorisée/temps de vol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Puissance par moteur</c:v>
          </c:tx>
          <c:xVal>
            <c:numRef>
              <c:f>efficacité!$C$9:$C$14</c:f>
              <c:numCache>
                <c:formatCode>General</c:formatCode>
                <c:ptCount val="6"/>
                <c:pt idx="0">
                  <c:v>10.0</c:v>
                </c:pt>
                <c:pt idx="1">
                  <c:v>12.0</c:v>
                </c:pt>
                <c:pt idx="2">
                  <c:v>14.0</c:v>
                </c:pt>
                <c:pt idx="3">
                  <c:v>16.0</c:v>
                </c:pt>
                <c:pt idx="4">
                  <c:v>18.0</c:v>
                </c:pt>
                <c:pt idx="5">
                  <c:v>20.0</c:v>
                </c:pt>
              </c:numCache>
            </c:numRef>
          </c:xVal>
          <c:yVal>
            <c:numRef>
              <c:f>efficacité!$H$9:$H$14</c:f>
              <c:numCache>
                <c:formatCode>General</c:formatCode>
                <c:ptCount val="6"/>
                <c:pt idx="0">
                  <c:v>108.225</c:v>
                </c:pt>
                <c:pt idx="1">
                  <c:v>90.1875</c:v>
                </c:pt>
                <c:pt idx="2">
                  <c:v>77.30357142857143</c:v>
                </c:pt>
                <c:pt idx="3">
                  <c:v>67.640625</c:v>
                </c:pt>
                <c:pt idx="4">
                  <c:v>60.125</c:v>
                </c:pt>
                <c:pt idx="5">
                  <c:v>54.1125</c:v>
                </c:pt>
              </c:numCache>
            </c:numRef>
          </c:yVal>
          <c:smooth val="1"/>
        </c:ser>
        <c:axId val="780552408"/>
        <c:axId val="780555480"/>
      </c:scatterChart>
      <c:valAx>
        <c:axId val="780552408"/>
        <c:scaling>
          <c:orientation val="minMax"/>
        </c:scaling>
        <c:axPos val="b"/>
        <c:numFmt formatCode="General" sourceLinked="1"/>
        <c:tickLblPos val="nextTo"/>
        <c:crossAx val="780555480"/>
        <c:crosses val="autoZero"/>
        <c:crossBetween val="midCat"/>
      </c:valAx>
      <c:valAx>
        <c:axId val="780555480"/>
        <c:scaling>
          <c:orientation val="minMax"/>
        </c:scaling>
        <c:axPos val="l"/>
        <c:majorGridlines/>
        <c:numFmt formatCode="General" sourceLinked="1"/>
        <c:tickLblPos val="nextTo"/>
        <c:crossAx val="7805524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temps de vol à 65% des 5Ah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'5017-620Kv'!$K$50:$K$76</c:f>
              <c:numCache>
                <c:formatCode>General</c:formatCode>
                <c:ptCount val="27"/>
                <c:pt idx="0">
                  <c:v>1805.863802420961</c:v>
                </c:pt>
                <c:pt idx="1">
                  <c:v>1741.031219977824</c:v>
                </c:pt>
                <c:pt idx="2">
                  <c:v>1635.01899051155</c:v>
                </c:pt>
                <c:pt idx="3">
                  <c:v>1531.607302594019</c:v>
                </c:pt>
                <c:pt idx="4">
                  <c:v>1480.894439232919</c:v>
                </c:pt>
                <c:pt idx="5">
                  <c:v>1430.853305734003</c:v>
                </c:pt>
                <c:pt idx="6">
                  <c:v>1381.491378539223</c:v>
                </c:pt>
                <c:pt idx="7">
                  <c:v>1332.816273817946</c:v>
                </c:pt>
                <c:pt idx="8">
                  <c:v>1284.835751150406</c:v>
                </c:pt>
                <c:pt idx="9">
                  <c:v>1237.55771733699</c:v>
                </c:pt>
                <c:pt idx="10">
                  <c:v>1190.990230338604</c:v>
                </c:pt>
                <c:pt idx="11">
                  <c:v>1145.141503353661</c:v>
                </c:pt>
                <c:pt idx="12">
                  <c:v>1100.019909037584</c:v>
                </c:pt>
                <c:pt idx="13">
                  <c:v>1055.633983870883</c:v>
                </c:pt>
                <c:pt idx="14">
                  <c:v>1011.992432682317</c:v>
                </c:pt>
                <c:pt idx="15">
                  <c:v>969.104133333893</c:v>
                </c:pt>
                <c:pt idx="16">
                  <c:v>926.9781415748386</c:v>
                </c:pt>
                <c:pt idx="17">
                  <c:v>885.6236960720532</c:v>
                </c:pt>
                <c:pt idx="18">
                  <c:v>845.0502236249579</c:v>
                </c:pt>
                <c:pt idx="19">
                  <c:v>805.267344573086</c:v>
                </c:pt>
                <c:pt idx="20">
                  <c:v>766.2848784051192</c:v>
                </c:pt>
                <c:pt idx="21">
                  <c:v>728.1128495787298</c:v>
                </c:pt>
                <c:pt idx="22">
                  <c:v>690.761493560902</c:v>
                </c:pt>
                <c:pt idx="23">
                  <c:v>654.2412630990729</c:v>
                </c:pt>
                <c:pt idx="24">
                  <c:v>618.5628347339494</c:v>
                </c:pt>
                <c:pt idx="25">
                  <c:v>583.7371155655007</c:v>
                </c:pt>
                <c:pt idx="26">
                  <c:v>549.775250284231</c:v>
                </c:pt>
              </c:numCache>
            </c:numRef>
          </c:xVal>
          <c:yVal>
            <c:numRef>
              <c:f>'5017-620Kv'!$O$50:$O$76</c:f>
              <c:numCache>
                <c:formatCode>General</c:formatCode>
                <c:ptCount val="27"/>
                <c:pt idx="0">
                  <c:v>3.041786504289343</c:v>
                </c:pt>
                <c:pt idx="1">
                  <c:v>3.147134959096336</c:v>
                </c:pt>
                <c:pt idx="2">
                  <c:v>3.336062958771307</c:v>
                </c:pt>
                <c:pt idx="3">
                  <c:v>3.543571419230008</c:v>
                </c:pt>
                <c:pt idx="4">
                  <c:v>3.65506375988739</c:v>
                </c:pt>
                <c:pt idx="5">
                  <c:v>3.772176698059185</c:v>
                </c:pt>
                <c:pt idx="6">
                  <c:v>3.895292840914693</c:v>
                </c:pt>
                <c:pt idx="7">
                  <c:v>4.024827205859401</c:v>
                </c:pt>
                <c:pt idx="8">
                  <c:v>4.161230461669656</c:v>
                </c:pt>
                <c:pt idx="9">
                  <c:v>4.304992536444134</c:v>
                </c:pt>
                <c:pt idx="10">
                  <c:v>4.456646637351501</c:v>
                </c:pt>
                <c:pt idx="11">
                  <c:v>4.61677373276283</c:v>
                </c:pt>
                <c:pt idx="12">
                  <c:v>4.786007553580452</c:v>
                </c:pt>
                <c:pt idx="13">
                  <c:v>4.965040177427086</c:v>
                </c:pt>
                <c:pt idx="14">
                  <c:v>5.154628266841384</c:v>
                </c:pt>
                <c:pt idx="15">
                  <c:v>5.355600040688385</c:v>
                </c:pt>
                <c:pt idx="16">
                  <c:v>5.568863066539614</c:v>
                </c:pt>
                <c:pt idx="17">
                  <c:v>5.795412970618436</c:v>
                </c:pt>
                <c:pt idx="18">
                  <c:v>6.036343170728081</c:v>
                </c:pt>
                <c:pt idx="19">
                  <c:v>6.292855745885904</c:v>
                </c:pt>
                <c:pt idx="20">
                  <c:v>6.566273563416756</c:v>
                </c:pt>
                <c:pt idx="21">
                  <c:v>6.85805378889034</c:v>
                </c:pt>
                <c:pt idx="22">
                  <c:v>7.169802904847338</c:v>
                </c:pt>
                <c:pt idx="23">
                  <c:v>7.503293358372302</c:v>
                </c:pt>
                <c:pt idx="24">
                  <c:v>7.860481941792313</c:v>
                </c:pt>
                <c:pt idx="25">
                  <c:v>8.243529980258087</c:v>
                </c:pt>
                <c:pt idx="26">
                  <c:v>8.654825347832093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'5017-620Kv'!$K$90:$K$115</c:f>
              <c:numCache>
                <c:formatCode>General</c:formatCode>
                <c:ptCount val="26"/>
                <c:pt idx="0">
                  <c:v>1744.462146672891</c:v>
                </c:pt>
                <c:pt idx="1">
                  <c:v>1686.860266292629</c:v>
                </c:pt>
                <c:pt idx="2">
                  <c:v>1629.950340757442</c:v>
                </c:pt>
                <c:pt idx="3">
                  <c:v>1573.742640740249</c:v>
                </c:pt>
                <c:pt idx="4">
                  <c:v>1518.247693535514</c:v>
                </c:pt>
                <c:pt idx="5">
                  <c:v>1463.476292126634</c:v>
                </c:pt>
                <c:pt idx="6">
                  <c:v>1409.439504669501</c:v>
                </c:pt>
                <c:pt idx="7">
                  <c:v>1356.148684415742</c:v>
                </c:pt>
                <c:pt idx="8">
                  <c:v>1303.615480100867</c:v>
                </c:pt>
                <c:pt idx="9">
                  <c:v>1251.851846824209</c:v>
                </c:pt>
                <c:pt idx="10">
                  <c:v>1200.870057449403</c:v>
                </c:pt>
                <c:pt idx="11">
                  <c:v>1150.682714556185</c:v>
                </c:pt>
                <c:pt idx="12">
                  <c:v>1101.302762976471</c:v>
                </c:pt>
                <c:pt idx="13">
                  <c:v>1052.743502949947</c:v>
                </c:pt>
                <c:pt idx="14">
                  <c:v>1005.018603937095</c:v>
                </c:pt>
                <c:pt idx="15">
                  <c:v>958.1421191301637</c:v>
                </c:pt>
                <c:pt idx="16">
                  <c:v>912.1285007057734</c:v>
                </c:pt>
                <c:pt idx="17">
                  <c:v>866.9926158659248</c:v>
                </c:pt>
                <c:pt idx="18">
                  <c:v>822.749763717879</c:v>
                </c:pt>
                <c:pt idx="19">
                  <c:v>779.4156930470993</c:v>
                </c:pt>
                <c:pt idx="20">
                  <c:v>737.0066210417249</c:v>
                </c:pt>
                <c:pt idx="21">
                  <c:v>695.5392530315738</c:v>
                </c:pt>
                <c:pt idx="22">
                  <c:v>655.030803309692</c:v>
                </c:pt>
                <c:pt idx="23">
                  <c:v>615.4990171099079</c:v>
                </c:pt>
                <c:pt idx="24">
                  <c:v>576.9621938197967</c:v>
                </c:pt>
                <c:pt idx="25">
                  <c:v>539.4392115150399</c:v>
                </c:pt>
              </c:numCache>
            </c:numRef>
          </c:xVal>
          <c:yVal>
            <c:numRef>
              <c:f>'5017-620Kv'!$O$90:$O$115</c:f>
              <c:numCache>
                <c:formatCode>General</c:formatCode>
                <c:ptCount val="26"/>
                <c:pt idx="0">
                  <c:v>2.256101412933821</c:v>
                </c:pt>
                <c:pt idx="1">
                  <c:v>2.328358016875553</c:v>
                </c:pt>
                <c:pt idx="2">
                  <c:v>2.404440435047067</c:v>
                </c:pt>
                <c:pt idx="3">
                  <c:v>2.484627369347293</c:v>
                </c:pt>
                <c:pt idx="4">
                  <c:v>2.569223218310804</c:v>
                </c:pt>
                <c:pt idx="5">
                  <c:v>2.658560928463684</c:v>
                </c:pt>
                <c:pt idx="6">
                  <c:v>2.75300521302716</c:v>
                </c:pt>
                <c:pt idx="7">
                  <c:v>2.852956191314483</c:v>
                </c:pt>
                <c:pt idx="8">
                  <c:v>2.958853510649187</c:v>
                </c:pt>
                <c:pt idx="9">
                  <c:v>3.071181022540202</c:v>
                </c:pt>
                <c:pt idx="10">
                  <c:v>3.190472096419811</c:v>
                </c:pt>
                <c:pt idx="11">
                  <c:v>3.31731566775609</c:v>
                </c:pt>
                <c:pt idx="12">
                  <c:v>3.452363133098512</c:v>
                </c:pt>
                <c:pt idx="13">
                  <c:v>3.59633622294265</c:v>
                </c:pt>
                <c:pt idx="14">
                  <c:v>3.750036004573683</c:v>
                </c:pt>
                <c:pt idx="15">
                  <c:v>3.914353191643174</c:v>
                </c:pt>
                <c:pt idx="16">
                  <c:v>4.090279965514175</c:v>
                </c:pt>
                <c:pt idx="17">
                  <c:v>4.278923545672215</c:v>
                </c:pt>
                <c:pt idx="18">
                  <c:v>4.481521782907854</c:v>
                </c:pt>
                <c:pt idx="19">
                  <c:v>4.699461089420788</c:v>
                </c:pt>
                <c:pt idx="20">
                  <c:v>4.934297063908326</c:v>
                </c:pt>
                <c:pt idx="21">
                  <c:v>5.18777821572716</c:v>
                </c:pt>
                <c:pt idx="22">
                  <c:v>5.461873237741593</c:v>
                </c:pt>
                <c:pt idx="23">
                  <c:v>5.758802317855268</c:v>
                </c:pt>
                <c:pt idx="24">
                  <c:v>6.08107300666369</c:v>
                </c:pt>
                <c:pt idx="25">
                  <c:v>6.431521160447005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'5017-620Kv'!$K$127:$K$151</c:f>
              <c:numCache>
                <c:formatCode>General</c:formatCode>
                <c:ptCount val="25"/>
                <c:pt idx="0">
                  <c:v>1710.226694944534</c:v>
                </c:pt>
                <c:pt idx="1">
                  <c:v>1605.189304936054</c:v>
                </c:pt>
                <c:pt idx="2">
                  <c:v>1502.597371237528</c:v>
                </c:pt>
                <c:pt idx="3">
                  <c:v>1452.23894007484</c:v>
                </c:pt>
                <c:pt idx="4">
                  <c:v>1402.516830519062</c:v>
                </c:pt>
                <c:pt idx="5">
                  <c:v>1353.439757544044</c:v>
                </c:pt>
                <c:pt idx="6">
                  <c:v>1305.016636890695</c:v>
                </c:pt>
                <c:pt idx="7">
                  <c:v>1257.256591602376</c:v>
                </c:pt>
                <c:pt idx="8">
                  <c:v>1210.168958836382</c:v>
                </c:pt>
                <c:pt idx="9">
                  <c:v>1163.763296965929</c:v>
                </c:pt>
                <c:pt idx="10">
                  <c:v>1118.049392987904</c:v>
                </c:pt>
                <c:pt idx="11">
                  <c:v>1073.037270252643</c:v>
                </c:pt>
                <c:pt idx="12">
                  <c:v>1028.737196532986</c:v>
                </c:pt>
                <c:pt idx="13">
                  <c:v>985.1596924510206</c:v>
                </c:pt>
                <c:pt idx="14">
                  <c:v>942.3155402820888</c:v>
                </c:pt>
                <c:pt idx="15">
                  <c:v>900.2157931568544</c:v>
                </c:pt>
                <c:pt idx="16">
                  <c:v>858.8717846837267</c:v>
                </c:pt>
                <c:pt idx="17">
                  <c:v>818.2951390153011</c:v>
                </c:pt>
                <c:pt idx="18">
                  <c:v>778.497781384126</c:v>
                </c:pt>
                <c:pt idx="19">
                  <c:v>739.491949134836</c:v>
                </c:pt>
                <c:pt idx="20">
                  <c:v>701.2902032815226</c:v>
                </c:pt>
                <c:pt idx="21">
                  <c:v>663.905440621235</c:v>
                </c:pt>
                <c:pt idx="22">
                  <c:v>627.350906436666</c:v>
                </c:pt>
                <c:pt idx="23">
                  <c:v>591.6402078234652</c:v>
                </c:pt>
                <c:pt idx="24">
                  <c:v>556.7873276800691</c:v>
                </c:pt>
              </c:numCache>
            </c:numRef>
          </c:xVal>
          <c:yVal>
            <c:numRef>
              <c:f>'5017-620Kv'!$O$127:$O$151</c:f>
              <c:numCache>
                <c:formatCode>General</c:formatCode>
                <c:ptCount val="25"/>
                <c:pt idx="0">
                  <c:v>2.213357070096095</c:v>
                </c:pt>
                <c:pt idx="1">
                  <c:v>2.349117782478786</c:v>
                </c:pt>
                <c:pt idx="2">
                  <c:v>2.498819508537866</c:v>
                </c:pt>
                <c:pt idx="3">
                  <c:v>2.579509203432414</c:v>
                </c:pt>
                <c:pt idx="4">
                  <c:v>2.6644604624855</c:v>
                </c:pt>
                <c:pt idx="5">
                  <c:v>2.753981022031894</c:v>
                </c:pt>
                <c:pt idx="6">
                  <c:v>2.848406591217587</c:v>
                </c:pt>
                <c:pt idx="7">
                  <c:v>2.948103893806738</c:v>
                </c:pt>
                <c:pt idx="8">
                  <c:v>3.053474091111394</c:v>
                </c:pt>
                <c:pt idx="9">
                  <c:v>3.164956639279946</c:v>
                </c:pt>
                <c:pt idx="10">
                  <c:v>3.283033642174228</c:v>
                </c:pt>
                <c:pt idx="11">
                  <c:v>3.408234770282772</c:v>
                </c:pt>
                <c:pt idx="12">
                  <c:v>3.541142826725752</c:v>
                </c:pt>
                <c:pt idx="13">
                  <c:v>3.682400053586378</c:v>
                </c:pt>
                <c:pt idx="14">
                  <c:v>3.832715285734369</c:v>
                </c:pt>
                <c:pt idx="15">
                  <c:v>3.992872075165822</c:v>
                </c:pt>
                <c:pt idx="16">
                  <c:v>4.163737926815619</c:v>
                </c:pt>
                <c:pt idx="17">
                  <c:v>4.346274806886907</c:v>
                </c:pt>
                <c:pt idx="18">
                  <c:v>4.54155110696106</c:v>
                </c:pt>
                <c:pt idx="19">
                  <c:v>4.750755271284322</c:v>
                </c:pt>
                <c:pt idx="20">
                  <c:v>4.975211320145304</c:v>
                </c:pt>
                <c:pt idx="21">
                  <c:v>5.216396528148584</c:v>
                </c:pt>
                <c:pt idx="22">
                  <c:v>5.475961540679362</c:v>
                </c:pt>
                <c:pt idx="23">
                  <c:v>5.755753232015541</c:v>
                </c:pt>
                <c:pt idx="24">
                  <c:v>6.057840619691818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'5017-620Kv'!$K$168:$K$179</c:f>
              <c:numCache>
                <c:formatCode>General</c:formatCode>
                <c:ptCount val="12"/>
                <c:pt idx="0">
                  <c:v>1677.65051293329</c:v>
                </c:pt>
                <c:pt idx="1">
                  <c:v>1652.505670745338</c:v>
                </c:pt>
                <c:pt idx="2">
                  <c:v>1528.653026199914</c:v>
                </c:pt>
                <c:pt idx="3">
                  <c:v>1408.014662430401</c:v>
                </c:pt>
                <c:pt idx="4">
                  <c:v>1290.727500238545</c:v>
                </c:pt>
                <c:pt idx="5">
                  <c:v>1176.93846646001</c:v>
                </c:pt>
                <c:pt idx="6">
                  <c:v>1066.805548633214</c:v>
                </c:pt>
                <c:pt idx="7">
                  <c:v>960.4989970510105</c:v>
                </c:pt>
                <c:pt idx="8">
                  <c:v>858.2027001778574</c:v>
                </c:pt>
                <c:pt idx="9">
                  <c:v>760.1157650086335</c:v>
                </c:pt>
                <c:pt idx="10">
                  <c:v>666.4543409758841</c:v>
                </c:pt>
                <c:pt idx="11">
                  <c:v>577.4537349134915</c:v>
                </c:pt>
              </c:numCache>
            </c:numRef>
          </c:xVal>
          <c:yVal>
            <c:numRef>
              <c:f>'5017-620Kv'!$O$168:$O$179</c:f>
              <c:numCache>
                <c:formatCode>General</c:formatCode>
                <c:ptCount val="12"/>
                <c:pt idx="0">
                  <c:v>2.112594646590616</c:v>
                </c:pt>
                <c:pt idx="1">
                  <c:v>2.142903357029822</c:v>
                </c:pt>
                <c:pt idx="2">
                  <c:v>2.305847290298288</c:v>
                </c:pt>
                <c:pt idx="3">
                  <c:v>2.490291924062535</c:v>
                </c:pt>
                <c:pt idx="4">
                  <c:v>2.700287701072152</c:v>
                </c:pt>
                <c:pt idx="5">
                  <c:v>2.94088350794347</c:v>
                </c:pt>
                <c:pt idx="6">
                  <c:v>3.218432151814627</c:v>
                </c:pt>
                <c:pt idx="7">
                  <c:v>3.541007373144914</c:v>
                </c:pt>
                <c:pt idx="8">
                  <c:v>3.918979254420498</c:v>
                </c:pt>
                <c:pt idx="9">
                  <c:v>4.365816528972874</c:v>
                </c:pt>
                <c:pt idx="10">
                  <c:v>4.899216038833043</c:v>
                </c:pt>
                <c:pt idx="11">
                  <c:v>5.542705004357386</c:v>
                </c:pt>
              </c:numCache>
            </c:numRef>
          </c:yVal>
          <c:smooth val="1"/>
        </c:ser>
        <c:ser>
          <c:idx val="4"/>
          <c:order val="4"/>
          <c:tx>
            <c:v>12x4,5 HK</c:v>
          </c:tx>
          <c:xVal>
            <c:numRef>
              <c:f>'5017-620Kv'!$K$192:$K$200</c:f>
              <c:numCache>
                <c:formatCode>General</c:formatCode>
                <c:ptCount val="9"/>
                <c:pt idx="0">
                  <c:v>1755.292242500869</c:v>
                </c:pt>
                <c:pt idx="1">
                  <c:v>1562.515479943786</c:v>
                </c:pt>
                <c:pt idx="2">
                  <c:v>1378.720910450027</c:v>
                </c:pt>
                <c:pt idx="3">
                  <c:v>1204.25881849657</c:v>
                </c:pt>
                <c:pt idx="4">
                  <c:v>1039.502865473843</c:v>
                </c:pt>
                <c:pt idx="5">
                  <c:v>855.1719658765882</c:v>
                </c:pt>
                <c:pt idx="6">
                  <c:v>740.7346567682582</c:v>
                </c:pt>
                <c:pt idx="7">
                  <c:v>607.60827653667</c:v>
                </c:pt>
                <c:pt idx="8">
                  <c:v>545.3193547656392</c:v>
                </c:pt>
              </c:numCache>
            </c:numRef>
          </c:xVal>
          <c:yVal>
            <c:numRef>
              <c:f>'5017-620Kv'!$O$192:$O$200</c:f>
              <c:numCache>
                <c:formatCode>General</c:formatCode>
                <c:ptCount val="9"/>
                <c:pt idx="0">
                  <c:v>2.522908363528368</c:v>
                </c:pt>
                <c:pt idx="1">
                  <c:v>2.810843261762302</c:v>
                </c:pt>
                <c:pt idx="2">
                  <c:v>3.154035448298834</c:v>
                </c:pt>
                <c:pt idx="3">
                  <c:v>3.567494468770828</c:v>
                </c:pt>
                <c:pt idx="4">
                  <c:v>4.071533215905363</c:v>
                </c:pt>
                <c:pt idx="5">
                  <c:v>4.835969295798386</c:v>
                </c:pt>
                <c:pt idx="6">
                  <c:v>5.474026446963996</c:v>
                </c:pt>
                <c:pt idx="7">
                  <c:v>6.466561744870285</c:v>
                </c:pt>
                <c:pt idx="8">
                  <c:v>7.06602252821168</c:v>
                </c:pt>
              </c:numCache>
            </c:numRef>
          </c:yVal>
          <c:smooth val="1"/>
        </c:ser>
        <c:axId val="780876744"/>
        <c:axId val="780879896"/>
      </c:scatterChart>
      <c:valAx>
        <c:axId val="780876744"/>
        <c:scaling>
          <c:orientation val="minMax"/>
        </c:scaling>
        <c:axPos val="b"/>
        <c:numFmt formatCode="General" sourceLinked="1"/>
        <c:tickLblPos val="nextTo"/>
        <c:crossAx val="780879896"/>
        <c:crosses val="autoZero"/>
        <c:crossBetween val="midCat"/>
      </c:valAx>
      <c:valAx>
        <c:axId val="780879896"/>
        <c:scaling>
          <c:orientation val="minMax"/>
        </c:scaling>
        <c:axPos val="l"/>
        <c:majorGridlines/>
        <c:numFmt formatCode="General" sourceLinked="1"/>
        <c:tickLblPos val="nextTo"/>
        <c:crossAx val="7808767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8"/>
  <c:chart>
    <c:title>
      <c:tx>
        <c:rich>
          <a:bodyPr/>
          <a:lstStyle/>
          <a:p>
            <a:pPr>
              <a:defRPr/>
            </a:pPr>
            <a:r>
              <a:rPr lang="fr-FR"/>
              <a:t>coef adapt - traction/puissance</a:t>
            </a:r>
          </a:p>
        </c:rich>
      </c:tx>
    </c:title>
    <c:plotArea>
      <c:layout/>
      <c:scatterChart>
        <c:scatterStyle val="smoothMarker"/>
        <c:ser>
          <c:idx val="1"/>
          <c:order val="0"/>
          <c:tx>
            <c:v>traction calculée 15x5</c:v>
          </c:tx>
          <c:spPr>
            <a:ln>
              <a:solidFill>
                <a:srgbClr val="3366FF"/>
              </a:solidFill>
            </a:ln>
          </c:spPr>
          <c:marker>
            <c:symbol val="dot"/>
            <c:size val="7"/>
          </c:marker>
          <c:xVal>
            <c:numRef>
              <c:f>'5017-620Kv'!$G$168:$G$179</c:f>
              <c:numCache>
                <c:formatCode>General</c:formatCode>
                <c:ptCount val="12"/>
                <c:pt idx="0">
                  <c:v>187.4425854595157</c:v>
                </c:pt>
                <c:pt idx="1">
                  <c:v>183.2442951160842</c:v>
                </c:pt>
                <c:pt idx="2">
                  <c:v>163.0344586088999</c:v>
                </c:pt>
                <c:pt idx="3">
                  <c:v>144.1208421217936</c:v>
                </c:pt>
                <c:pt idx="4">
                  <c:v>126.4934011113506</c:v>
                </c:pt>
                <c:pt idx="5">
                  <c:v>110.1404029601006</c:v>
                </c:pt>
                <c:pt idx="6">
                  <c:v>95.0482059364158</c:v>
                </c:pt>
                <c:pt idx="7">
                  <c:v>81.20100391683311</c:v>
                </c:pt>
                <c:pt idx="8">
                  <c:v>68.58053045898352</c:v>
                </c:pt>
                <c:pt idx="9">
                  <c:v>57.16571437691338</c:v>
                </c:pt>
                <c:pt idx="10">
                  <c:v>46.93227715454723</c:v>
                </c:pt>
                <c:pt idx="11">
                  <c:v>37.85226022041862</c:v>
                </c:pt>
              </c:numCache>
            </c:numRef>
          </c:xVal>
          <c:yVal>
            <c:numRef>
              <c:f>'5017-620Kv'!$K$168:$K$179</c:f>
              <c:numCache>
                <c:formatCode>General</c:formatCode>
                <c:ptCount val="12"/>
                <c:pt idx="0">
                  <c:v>1677.65051293329</c:v>
                </c:pt>
                <c:pt idx="1">
                  <c:v>1652.505670745338</c:v>
                </c:pt>
                <c:pt idx="2">
                  <c:v>1528.653026199914</c:v>
                </c:pt>
                <c:pt idx="3">
                  <c:v>1408.014662430401</c:v>
                </c:pt>
                <c:pt idx="4">
                  <c:v>1290.727500238545</c:v>
                </c:pt>
                <c:pt idx="5">
                  <c:v>1176.93846646001</c:v>
                </c:pt>
                <c:pt idx="6">
                  <c:v>1066.805548633214</c:v>
                </c:pt>
                <c:pt idx="7">
                  <c:v>960.4989970510105</c:v>
                </c:pt>
                <c:pt idx="8">
                  <c:v>858.2027001778574</c:v>
                </c:pt>
                <c:pt idx="9">
                  <c:v>760.1157650086335</c:v>
                </c:pt>
                <c:pt idx="10">
                  <c:v>666.4543409758841</c:v>
                </c:pt>
                <c:pt idx="11">
                  <c:v>577.4537349134915</c:v>
                </c:pt>
              </c:numCache>
            </c:numRef>
          </c:yVal>
          <c:smooth val="1"/>
        </c:ser>
        <c:axId val="780910600"/>
        <c:axId val="780913704"/>
      </c:scatterChart>
      <c:valAx>
        <c:axId val="780910600"/>
        <c:scaling>
          <c:orientation val="minMax"/>
        </c:scaling>
        <c:axPos val="b"/>
        <c:numFmt formatCode="General" sourceLinked="1"/>
        <c:tickLblPos val="nextTo"/>
        <c:crossAx val="780913704"/>
        <c:crosses val="autoZero"/>
        <c:crossBetween val="midCat"/>
      </c:valAx>
      <c:valAx>
        <c:axId val="780913704"/>
        <c:scaling>
          <c:orientation val="minMax"/>
        </c:scaling>
        <c:axPos val="l"/>
        <c:majorGridlines/>
        <c:numFmt formatCode="General" sourceLinked="1"/>
        <c:tickLblPos val="nextTo"/>
        <c:crossAx val="7809106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globale (grs/W)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'AX2810Q-750Kv'!$F$14:$F$24</c:f>
              <c:numCache>
                <c:formatCode>General</c:formatCode>
                <c:ptCount val="11"/>
                <c:pt idx="0">
                  <c:v>260.830781269158</c:v>
                </c:pt>
                <c:pt idx="1">
                  <c:v>181.6911171886687</c:v>
                </c:pt>
                <c:pt idx="2">
                  <c:v>168.8076808014924</c:v>
                </c:pt>
                <c:pt idx="3">
                  <c:v>145.2399873611949</c:v>
                </c:pt>
                <c:pt idx="4">
                  <c:v>123.9624155722828</c:v>
                </c:pt>
                <c:pt idx="5">
                  <c:v>104.8675198535894</c:v>
                </c:pt>
                <c:pt idx="6">
                  <c:v>99.02659676484977</c:v>
                </c:pt>
                <c:pt idx="7">
                  <c:v>87.8458537204345</c:v>
                </c:pt>
                <c:pt idx="8">
                  <c:v>80.07771804378777</c:v>
                </c:pt>
                <c:pt idx="9">
                  <c:v>65.95616051716995</c:v>
                </c:pt>
                <c:pt idx="10">
                  <c:v>57.74455246661044</c:v>
                </c:pt>
              </c:numCache>
            </c:numRef>
          </c:xVal>
          <c:yVal>
            <c:numRef>
              <c:f>'AX2810Q-750Kv'!$L$14:$L$24</c:f>
              <c:numCache>
                <c:formatCode>General</c:formatCode>
                <c:ptCount val="11"/>
                <c:pt idx="0">
                  <c:v>7.023341373449263</c:v>
                </c:pt>
                <c:pt idx="1">
                  <c:v>7.880050420189747</c:v>
                </c:pt>
                <c:pt idx="2">
                  <c:v>8.063834199812307</c:v>
                </c:pt>
                <c:pt idx="3">
                  <c:v>8.44950425757061</c:v>
                </c:pt>
                <c:pt idx="4">
                  <c:v>8.86995317032824</c:v>
                </c:pt>
                <c:pt idx="5">
                  <c:v>9.329220400058693</c:v>
                </c:pt>
                <c:pt idx="6">
                  <c:v>9.490035521325754</c:v>
                </c:pt>
                <c:pt idx="7">
                  <c:v>9.831681630148725</c:v>
                </c:pt>
                <c:pt idx="8">
                  <c:v>10.10053649582635</c:v>
                </c:pt>
                <c:pt idx="9">
                  <c:v>10.6763289961421</c:v>
                </c:pt>
                <c:pt idx="10">
                  <c:v>11.0794281598491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'AX2810Q-750Kv'!$F$36:$F$44</c:f>
              <c:numCache>
                <c:formatCode>General</c:formatCode>
                <c:ptCount val="9"/>
                <c:pt idx="0">
                  <c:v>388.3901651138245</c:v>
                </c:pt>
                <c:pt idx="1">
                  <c:v>183.2123373366303</c:v>
                </c:pt>
                <c:pt idx="2">
                  <c:v>156.109219369625</c:v>
                </c:pt>
                <c:pt idx="3">
                  <c:v>130.5618997471468</c:v>
                </c:pt>
                <c:pt idx="4">
                  <c:v>107.9240033979228</c:v>
                </c:pt>
                <c:pt idx="5">
                  <c:v>99.14586300184431</c:v>
                </c:pt>
                <c:pt idx="6">
                  <c:v>88.03947432232499</c:v>
                </c:pt>
                <c:pt idx="7">
                  <c:v>70.74781230072324</c:v>
                </c:pt>
                <c:pt idx="8">
                  <c:v>57.33551623089366</c:v>
                </c:pt>
              </c:numCache>
            </c:numRef>
          </c:xVal>
          <c:yVal>
            <c:numRef>
              <c:f>'AX2810Q-750Kv'!$L$36:$L$44</c:f>
              <c:numCache>
                <c:formatCode>General</c:formatCode>
                <c:ptCount val="9"/>
                <c:pt idx="0">
                  <c:v>6.096664358848654</c:v>
                </c:pt>
                <c:pt idx="1">
                  <c:v>7.809602333117163</c:v>
                </c:pt>
                <c:pt idx="2">
                  <c:v>8.220862510433617</c:v>
                </c:pt>
                <c:pt idx="3">
                  <c:v>8.699428520548112</c:v>
                </c:pt>
                <c:pt idx="4">
                  <c:v>9.231722045965549</c:v>
                </c:pt>
                <c:pt idx="5">
                  <c:v>9.476152485523337</c:v>
                </c:pt>
                <c:pt idx="6">
                  <c:v>9.8258073980992</c:v>
                </c:pt>
                <c:pt idx="7">
                  <c:v>10.49076861669853</c:v>
                </c:pt>
                <c:pt idx="8">
                  <c:v>11.15401298442402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'AX2810Q-750Kv'!$F$56:$F$64</c:f>
              <c:numCache>
                <c:formatCode>General</c:formatCode>
                <c:ptCount val="9"/>
                <c:pt idx="0">
                  <c:v>342.9729235255167</c:v>
                </c:pt>
                <c:pt idx="1">
                  <c:v>293.6357613759055</c:v>
                </c:pt>
                <c:pt idx="2">
                  <c:v>222.0580235550014</c:v>
                </c:pt>
                <c:pt idx="3">
                  <c:v>162.9255496319397</c:v>
                </c:pt>
                <c:pt idx="4">
                  <c:v>115.1934414608978</c:v>
                </c:pt>
                <c:pt idx="5">
                  <c:v>89.04733896846663</c:v>
                </c:pt>
                <c:pt idx="6">
                  <c:v>62.55831554176243</c:v>
                </c:pt>
                <c:pt idx="7">
                  <c:v>49.49077479558653</c:v>
                </c:pt>
                <c:pt idx="8">
                  <c:v>45.96495483591658</c:v>
                </c:pt>
              </c:numCache>
            </c:numRef>
          </c:xVal>
          <c:yVal>
            <c:numRef>
              <c:f>'AX2810Q-750Kv'!$L$56:$L$64</c:f>
              <c:numCache>
                <c:formatCode>General</c:formatCode>
                <c:ptCount val="9"/>
                <c:pt idx="0">
                  <c:v>5.829129219238196</c:v>
                </c:pt>
                <c:pt idx="1">
                  <c:v>6.13610675251971</c:v>
                </c:pt>
                <c:pt idx="2">
                  <c:v>6.722293888785165</c:v>
                </c:pt>
                <c:pt idx="3">
                  <c:v>7.42391757856652</c:v>
                </c:pt>
                <c:pt idx="4">
                  <c:v>8.2744330081408</c:v>
                </c:pt>
                <c:pt idx="5">
                  <c:v>8.949012865718987</c:v>
                </c:pt>
                <c:pt idx="6">
                  <c:v>9.928328436008515</c:v>
                </c:pt>
                <c:pt idx="7">
                  <c:v>10.60734060841584</c:v>
                </c:pt>
                <c:pt idx="8">
                  <c:v>10.82530221236111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'AX2810Q-750Kv'!$F$76:$F$81</c:f>
              <c:numCache>
                <c:formatCode>General</c:formatCode>
                <c:ptCount val="6"/>
                <c:pt idx="0">
                  <c:v>348.8462688126916</c:v>
                </c:pt>
                <c:pt idx="1">
                  <c:v>195.7518290101594</c:v>
                </c:pt>
                <c:pt idx="2">
                  <c:v>72.22802854820588</c:v>
                </c:pt>
                <c:pt idx="3">
                  <c:v>48.45038992467757</c:v>
                </c:pt>
                <c:pt idx="4">
                  <c:v>42.88395635727332</c:v>
                </c:pt>
                <c:pt idx="5">
                  <c:v>37.03033057496737</c:v>
                </c:pt>
              </c:numCache>
            </c:numRef>
          </c:xVal>
          <c:yVal>
            <c:numRef>
              <c:f>'AX2810Q-750Kv'!$L$76:$L$81</c:f>
              <c:numCache>
                <c:formatCode>General</c:formatCode>
                <c:ptCount val="6"/>
                <c:pt idx="0">
                  <c:v>6.578372139970022</c:v>
                </c:pt>
                <c:pt idx="1">
                  <c:v>7.994686992075222</c:v>
                </c:pt>
                <c:pt idx="2">
                  <c:v>11.00754047955042</c:v>
                </c:pt>
                <c:pt idx="3">
                  <c:v>12.40997744123083</c:v>
                </c:pt>
                <c:pt idx="4">
                  <c:v>12.85753235321894</c:v>
                </c:pt>
                <c:pt idx="5">
                  <c:v>13.40550259725662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'AX2810Q-750Kv'!$F$93:$F$102</c:f>
              <c:numCache>
                <c:formatCode>General</c:formatCode>
                <c:ptCount val="10"/>
                <c:pt idx="0">
                  <c:v>224.901598513154</c:v>
                </c:pt>
                <c:pt idx="1">
                  <c:v>192.5144580725313</c:v>
                </c:pt>
                <c:pt idx="2">
                  <c:v>168.0105730871568</c:v>
                </c:pt>
                <c:pt idx="3">
                  <c:v>145.6694266714568</c:v>
                </c:pt>
                <c:pt idx="4">
                  <c:v>125.3988582460718</c:v>
                </c:pt>
                <c:pt idx="5">
                  <c:v>107.1052510116839</c:v>
                </c:pt>
                <c:pt idx="6">
                  <c:v>89.45896705808374</c:v>
                </c:pt>
                <c:pt idx="7">
                  <c:v>76.06695114473024</c:v>
                </c:pt>
                <c:pt idx="8">
                  <c:v>63.12740837301905</c:v>
                </c:pt>
                <c:pt idx="9">
                  <c:v>46.66241477792286</c:v>
                </c:pt>
              </c:numCache>
            </c:numRef>
          </c:xVal>
          <c:yVal>
            <c:numRef>
              <c:f>'AX2810Q-750Kv'!$L$93:$L$102</c:f>
              <c:numCache>
                <c:formatCode>General</c:formatCode>
                <c:ptCount val="10"/>
                <c:pt idx="0">
                  <c:v>6.733863875608221</c:v>
                </c:pt>
                <c:pt idx="1">
                  <c:v>7.071562348907991</c:v>
                </c:pt>
                <c:pt idx="2">
                  <c:v>7.377672607235324</c:v>
                </c:pt>
                <c:pt idx="3">
                  <c:v>7.708805324638785</c:v>
                </c:pt>
                <c:pt idx="4">
                  <c:v>8.067633470216337</c:v>
                </c:pt>
                <c:pt idx="5">
                  <c:v>8.45706331053641</c:v>
                </c:pt>
                <c:pt idx="6">
                  <c:v>8.915581203867755</c:v>
                </c:pt>
                <c:pt idx="7">
                  <c:v>9.34013709529608</c:v>
                </c:pt>
                <c:pt idx="8">
                  <c:v>9.839903568090737</c:v>
                </c:pt>
                <c:pt idx="9">
                  <c:v>10.66901180657406</c:v>
                </c:pt>
              </c:numCache>
            </c:numRef>
          </c:yVal>
          <c:smooth val="1"/>
        </c:ser>
        <c:axId val="677698296"/>
        <c:axId val="685515608"/>
      </c:scatterChart>
      <c:valAx>
        <c:axId val="677698296"/>
        <c:scaling>
          <c:orientation val="minMax"/>
        </c:scaling>
        <c:axPos val="b"/>
        <c:numFmt formatCode="General" sourceLinked="1"/>
        <c:tickLblPos val="nextTo"/>
        <c:crossAx val="685515608"/>
        <c:crosses val="autoZero"/>
        <c:crossBetween val="midCat"/>
      </c:valAx>
      <c:valAx>
        <c:axId val="685515608"/>
        <c:scaling>
          <c:orientation val="minMax"/>
        </c:scaling>
        <c:axPos val="l"/>
        <c:majorGridlines/>
        <c:numFmt formatCode="General" sourceLinked="1"/>
        <c:tickLblPos val="nextTo"/>
        <c:crossAx val="67769829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mécanique (grs/W)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'AX2810Q-750Kv'!$G$14:$G$24</c:f>
              <c:numCache>
                <c:formatCode>General</c:formatCode>
                <c:ptCount val="11"/>
                <c:pt idx="0">
                  <c:v>233.1015869066728</c:v>
                </c:pt>
                <c:pt idx="1">
                  <c:v>161.0591256795129</c:v>
                </c:pt>
                <c:pt idx="2">
                  <c:v>149.3110636020226</c:v>
                </c:pt>
                <c:pt idx="3">
                  <c:v>127.8107687588193</c:v>
                </c:pt>
                <c:pt idx="4">
                  <c:v>108.3947718978033</c:v>
                </c:pt>
                <c:pt idx="5">
                  <c:v>90.97474040725605</c:v>
                </c:pt>
                <c:pt idx="6">
                  <c:v>85.64871225286477</c:v>
                </c:pt>
                <c:pt idx="7">
                  <c:v>75.45967173571145</c:v>
                </c:pt>
                <c:pt idx="8">
                  <c:v>68.38730603040783</c:v>
                </c:pt>
                <c:pt idx="9">
                  <c:v>55.55296862088717</c:v>
                </c:pt>
                <c:pt idx="10">
                  <c:v>48.10983286506812</c:v>
                </c:pt>
              </c:numCache>
            </c:numRef>
          </c:xVal>
          <c:yVal>
            <c:numRef>
              <c:f>'AX2810Q-750Kv'!$L$14:$L$24</c:f>
              <c:numCache>
                <c:formatCode>General</c:formatCode>
                <c:ptCount val="11"/>
                <c:pt idx="0">
                  <c:v>7.023341373449263</c:v>
                </c:pt>
                <c:pt idx="1">
                  <c:v>7.880050420189747</c:v>
                </c:pt>
                <c:pt idx="2">
                  <c:v>8.063834199812307</c:v>
                </c:pt>
                <c:pt idx="3">
                  <c:v>8.44950425757061</c:v>
                </c:pt>
                <c:pt idx="4">
                  <c:v>8.86995317032824</c:v>
                </c:pt>
                <c:pt idx="5">
                  <c:v>9.329220400058693</c:v>
                </c:pt>
                <c:pt idx="6">
                  <c:v>9.490035521325754</c:v>
                </c:pt>
                <c:pt idx="7">
                  <c:v>9.831681630148725</c:v>
                </c:pt>
                <c:pt idx="8">
                  <c:v>10.10053649582635</c:v>
                </c:pt>
                <c:pt idx="9">
                  <c:v>10.6763289961421</c:v>
                </c:pt>
                <c:pt idx="10">
                  <c:v>11.0794281598491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'AX2810Q-750Kv'!$G$36:$G$44</c:f>
              <c:numCache>
                <c:formatCode>General</c:formatCode>
                <c:ptCount val="9"/>
                <c:pt idx="0">
                  <c:v>342.5563838270761</c:v>
                </c:pt>
                <c:pt idx="1">
                  <c:v>160.9039674338966</c:v>
                </c:pt>
                <c:pt idx="2">
                  <c:v>136.6816475520977</c:v>
                </c:pt>
                <c:pt idx="3">
                  <c:v>113.8025718250821</c:v>
                </c:pt>
                <c:pt idx="4">
                  <c:v>93.49587494436077</c:v>
                </c:pt>
                <c:pt idx="5">
                  <c:v>85.61527512148332</c:v>
                </c:pt>
                <c:pt idx="6">
                  <c:v>75.64144754530671</c:v>
                </c:pt>
                <c:pt idx="7">
                  <c:v>60.11346815735486</c:v>
                </c:pt>
                <c:pt idx="8">
                  <c:v>48.08101298601041</c:v>
                </c:pt>
              </c:numCache>
            </c:numRef>
          </c:xVal>
          <c:yVal>
            <c:numRef>
              <c:f>'AX2810Q-750Kv'!$L$36:$L$44</c:f>
              <c:numCache>
                <c:formatCode>General</c:formatCode>
                <c:ptCount val="9"/>
                <c:pt idx="0">
                  <c:v>6.096664358848654</c:v>
                </c:pt>
                <c:pt idx="1">
                  <c:v>7.809602333117163</c:v>
                </c:pt>
                <c:pt idx="2">
                  <c:v>8.220862510433617</c:v>
                </c:pt>
                <c:pt idx="3">
                  <c:v>8.699428520548112</c:v>
                </c:pt>
                <c:pt idx="4">
                  <c:v>9.231722045965549</c:v>
                </c:pt>
                <c:pt idx="5">
                  <c:v>9.476152485523337</c:v>
                </c:pt>
                <c:pt idx="6">
                  <c:v>9.8258073980992</c:v>
                </c:pt>
                <c:pt idx="7">
                  <c:v>10.49076861669853</c:v>
                </c:pt>
                <c:pt idx="8">
                  <c:v>11.15401298442402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'AX2810Q-750Kv'!$G$56:$G$64</c:f>
              <c:numCache>
                <c:formatCode>General</c:formatCode>
                <c:ptCount val="9"/>
                <c:pt idx="0">
                  <c:v>304.4179122392355</c:v>
                </c:pt>
                <c:pt idx="1">
                  <c:v>260.452005198577</c:v>
                </c:pt>
                <c:pt idx="2">
                  <c:v>196.4042466042288</c:v>
                </c:pt>
                <c:pt idx="3">
                  <c:v>143.2545518712871</c:v>
                </c:pt>
                <c:pt idx="4">
                  <c:v>100.2129673361409</c:v>
                </c:pt>
                <c:pt idx="5">
                  <c:v>76.60710371002678</c:v>
                </c:pt>
                <c:pt idx="6">
                  <c:v>52.71287438296088</c:v>
                </c:pt>
                <c:pt idx="7">
                  <c:v>40.96104963538963</c:v>
                </c:pt>
                <c:pt idx="8">
                  <c:v>37.79855753543322</c:v>
                </c:pt>
              </c:numCache>
            </c:numRef>
          </c:xVal>
          <c:yVal>
            <c:numRef>
              <c:f>'AX2810Q-750Kv'!$L$56:$L$64</c:f>
              <c:numCache>
                <c:formatCode>General</c:formatCode>
                <c:ptCount val="9"/>
                <c:pt idx="0">
                  <c:v>5.829129219238196</c:v>
                </c:pt>
                <c:pt idx="1">
                  <c:v>6.13610675251971</c:v>
                </c:pt>
                <c:pt idx="2">
                  <c:v>6.722293888785165</c:v>
                </c:pt>
                <c:pt idx="3">
                  <c:v>7.42391757856652</c:v>
                </c:pt>
                <c:pt idx="4">
                  <c:v>8.2744330081408</c:v>
                </c:pt>
                <c:pt idx="5">
                  <c:v>8.949012865718987</c:v>
                </c:pt>
                <c:pt idx="6">
                  <c:v>9.928328436008515</c:v>
                </c:pt>
                <c:pt idx="7">
                  <c:v>10.60734060841584</c:v>
                </c:pt>
                <c:pt idx="8">
                  <c:v>10.82530221236111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'AX2810Q-750Kv'!$G$76:$G$81</c:f>
              <c:numCache>
                <c:formatCode>General</c:formatCode>
                <c:ptCount val="6"/>
                <c:pt idx="0">
                  <c:v>299.8781378415338</c:v>
                </c:pt>
                <c:pt idx="1">
                  <c:v>168.8795119836241</c:v>
                </c:pt>
                <c:pt idx="2">
                  <c:v>61.15192087348601</c:v>
                </c:pt>
                <c:pt idx="3">
                  <c:v>40.21781091716393</c:v>
                </c:pt>
                <c:pt idx="4">
                  <c:v>35.31788855325237</c:v>
                </c:pt>
                <c:pt idx="5">
                  <c:v>30.17012158372754</c:v>
                </c:pt>
              </c:numCache>
            </c:numRef>
          </c:xVal>
          <c:yVal>
            <c:numRef>
              <c:f>'AX2810Q-750Kv'!$L$76:$L$81</c:f>
              <c:numCache>
                <c:formatCode>General</c:formatCode>
                <c:ptCount val="6"/>
                <c:pt idx="0">
                  <c:v>6.578372139970022</c:v>
                </c:pt>
                <c:pt idx="1">
                  <c:v>7.994686992075222</c:v>
                </c:pt>
                <c:pt idx="2">
                  <c:v>11.00754047955042</c:v>
                </c:pt>
                <c:pt idx="3">
                  <c:v>12.40997744123083</c:v>
                </c:pt>
                <c:pt idx="4">
                  <c:v>12.85753235321894</c:v>
                </c:pt>
                <c:pt idx="5">
                  <c:v>13.40550259725662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'AX2810Q-750Kv'!$G$93:$G$102</c:f>
              <c:numCache>
                <c:formatCode>General</c:formatCode>
                <c:ptCount val="10"/>
                <c:pt idx="0">
                  <c:v>200.9607999388227</c:v>
                </c:pt>
                <c:pt idx="1">
                  <c:v>171.2750594705423</c:v>
                </c:pt>
                <c:pt idx="2">
                  <c:v>148.8024309943488</c:v>
                </c:pt>
                <c:pt idx="3">
                  <c:v>128.3096356900136</c:v>
                </c:pt>
                <c:pt idx="4">
                  <c:v>109.7199623885419</c:v>
                </c:pt>
                <c:pt idx="5">
                  <c:v>92.9547432755758</c:v>
                </c:pt>
                <c:pt idx="6">
                  <c:v>76.80444352366521</c:v>
                </c:pt>
                <c:pt idx="7">
                  <c:v>64.57284610216693</c:v>
                </c:pt>
                <c:pt idx="8">
                  <c:v>52.78849031010241</c:v>
                </c:pt>
                <c:pt idx="9">
                  <c:v>37.87591613710382</c:v>
                </c:pt>
              </c:numCache>
            </c:numRef>
          </c:xVal>
          <c:yVal>
            <c:numRef>
              <c:f>'AX2810Q-750Kv'!$L$93:$L$102</c:f>
              <c:numCache>
                <c:formatCode>General</c:formatCode>
                <c:ptCount val="10"/>
                <c:pt idx="0">
                  <c:v>6.733863875608221</c:v>
                </c:pt>
                <c:pt idx="1">
                  <c:v>7.071562348907991</c:v>
                </c:pt>
                <c:pt idx="2">
                  <c:v>7.377672607235324</c:v>
                </c:pt>
                <c:pt idx="3">
                  <c:v>7.708805324638785</c:v>
                </c:pt>
                <c:pt idx="4">
                  <c:v>8.067633470216337</c:v>
                </c:pt>
                <c:pt idx="5">
                  <c:v>8.45706331053641</c:v>
                </c:pt>
                <c:pt idx="6">
                  <c:v>8.915581203867755</c:v>
                </c:pt>
                <c:pt idx="7">
                  <c:v>9.34013709529608</c:v>
                </c:pt>
                <c:pt idx="8">
                  <c:v>9.839903568090737</c:v>
                </c:pt>
                <c:pt idx="9">
                  <c:v>10.66901180657406</c:v>
                </c:pt>
              </c:numCache>
            </c:numRef>
          </c:yVal>
          <c:smooth val="1"/>
        </c:ser>
        <c:axId val="780210568"/>
        <c:axId val="677481160"/>
      </c:scatterChart>
      <c:valAx>
        <c:axId val="780210568"/>
        <c:scaling>
          <c:orientation val="minMax"/>
        </c:scaling>
        <c:axPos val="b"/>
        <c:numFmt formatCode="General" sourceLinked="1"/>
        <c:tickLblPos val="nextTo"/>
        <c:crossAx val="677481160"/>
        <c:crosses val="autoZero"/>
        <c:crossBetween val="midCat"/>
      </c:valAx>
      <c:valAx>
        <c:axId val="677481160"/>
        <c:scaling>
          <c:orientation val="minMax"/>
        </c:scaling>
        <c:axPos val="l"/>
        <c:majorGridlines/>
        <c:numFmt formatCode="General" sourceLinked="1"/>
        <c:tickLblPos val="nextTo"/>
        <c:crossAx val="78021056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Traction/courant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'AX2810Q-750Kv'!$E$14:$E$24</c:f>
              <c:numCache>
                <c:formatCode>General</c:formatCode>
                <c:ptCount val="11"/>
                <c:pt idx="0">
                  <c:v>11.74913429140351</c:v>
                </c:pt>
                <c:pt idx="1">
                  <c:v>9.31367219544129</c:v>
                </c:pt>
                <c:pt idx="2">
                  <c:v>8.88461477902591</c:v>
                </c:pt>
                <c:pt idx="3">
                  <c:v>8.06888818673305</c:v>
                </c:pt>
                <c:pt idx="4">
                  <c:v>7.291906798369576</c:v>
                </c:pt>
                <c:pt idx="5">
                  <c:v>6.554219990849336</c:v>
                </c:pt>
                <c:pt idx="6">
                  <c:v>6.319502027112302</c:v>
                </c:pt>
                <c:pt idx="7">
                  <c:v>5.856390248028967</c:v>
                </c:pt>
                <c:pt idx="8">
                  <c:v>5.522601244399157</c:v>
                </c:pt>
                <c:pt idx="9">
                  <c:v>4.885641519790366</c:v>
                </c:pt>
                <c:pt idx="10">
                  <c:v>4.493739491565015</c:v>
                </c:pt>
              </c:numCache>
            </c:numRef>
          </c:xVal>
          <c:yVal>
            <c:numRef>
              <c:f>'AX2810Q-750Kv'!$K$14:$K$24</c:f>
              <c:numCache>
                <c:formatCode>General</c:formatCode>
                <c:ptCount val="11"/>
                <c:pt idx="0">
                  <c:v>1831.903617556772</c:v>
                </c:pt>
                <c:pt idx="1">
                  <c:v>1431.735164347313</c:v>
                </c:pt>
                <c:pt idx="2">
                  <c:v>1361.237149638074</c:v>
                </c:pt>
                <c:pt idx="3">
                  <c:v>1227.205891577918</c:v>
                </c:pt>
                <c:pt idx="4">
                  <c:v>1099.540821006917</c:v>
                </c:pt>
                <c:pt idx="5">
                  <c:v>978.3322055216662</c:v>
                </c:pt>
                <c:pt idx="6">
                  <c:v>939.7659208544264</c:v>
                </c:pt>
                <c:pt idx="7">
                  <c:v>863.672466307928</c:v>
                </c:pt>
                <c:pt idx="8">
                  <c:v>808.8279136037705</c:v>
                </c:pt>
                <c:pt idx="9">
                  <c:v>704.169669003664</c:v>
                </c:pt>
                <c:pt idx="10">
                  <c:v>639.7766206764476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'AX2810Q-750Kv'!$E$36:$E$44</c:f>
              <c:numCache>
                <c:formatCode>General</c:formatCode>
                <c:ptCount val="9"/>
                <c:pt idx="0">
                  <c:v>17.49505248260471</c:v>
                </c:pt>
                <c:pt idx="1">
                  <c:v>10.80898745348851</c:v>
                </c:pt>
                <c:pt idx="2">
                  <c:v>9.75682621060156</c:v>
                </c:pt>
                <c:pt idx="3">
                  <c:v>8.704126649809787</c:v>
                </c:pt>
                <c:pt idx="4">
                  <c:v>7.708857385565912</c:v>
                </c:pt>
                <c:pt idx="5">
                  <c:v>7.303562652069563</c:v>
                </c:pt>
                <c:pt idx="6">
                  <c:v>6.77226725556346</c:v>
                </c:pt>
                <c:pt idx="7">
                  <c:v>5.89565102506027</c:v>
                </c:pt>
                <c:pt idx="8">
                  <c:v>5.163036130652288</c:v>
                </c:pt>
              </c:numCache>
            </c:numRef>
          </c:xVal>
          <c:yVal>
            <c:numRef>
              <c:f>'AX2810Q-750Kv'!$K$36:$K$44</c:f>
              <c:numCache>
                <c:formatCode>General</c:formatCode>
                <c:ptCount val="9"/>
                <c:pt idx="0">
                  <c:v>2367.884476976797</c:v>
                </c:pt>
                <c:pt idx="1">
                  <c:v>1430.815497119997</c:v>
                </c:pt>
                <c:pt idx="2">
                  <c:v>1283.352429048808</c:v>
                </c:pt>
                <c:pt idx="3">
                  <c:v>1135.813914357272</c:v>
                </c:pt>
                <c:pt idx="4">
                  <c:v>996.3244014574644</c:v>
                </c:pt>
                <c:pt idx="5">
                  <c:v>939.5213161142834</c:v>
                </c:pt>
                <c:pt idx="6">
                  <c:v>865.0589181210657</c:v>
                </c:pt>
                <c:pt idx="7">
                  <c:v>742.198928984506</c:v>
                </c:pt>
                <c:pt idx="8">
                  <c:v>639.5210925080422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'AX2810Q-750Kv'!$E$56:$E$64</c:f>
              <c:numCache>
                <c:formatCode>General</c:formatCode>
                <c:ptCount val="9"/>
                <c:pt idx="0">
                  <c:v>15.4492307894377</c:v>
                </c:pt>
                <c:pt idx="1">
                  <c:v>13.98265530361455</c:v>
                </c:pt>
                <c:pt idx="2">
                  <c:v>11.68726439763165</c:v>
                </c:pt>
                <c:pt idx="3">
                  <c:v>9.583855860702337</c:v>
                </c:pt>
                <c:pt idx="4">
                  <c:v>7.679562764059851</c:v>
                </c:pt>
                <c:pt idx="5">
                  <c:v>6.518838870312345</c:v>
                </c:pt>
                <c:pt idx="6">
                  <c:v>5.213192961813535</c:v>
                </c:pt>
                <c:pt idx="7">
                  <c:v>4.49916134505332</c:v>
                </c:pt>
                <c:pt idx="8">
                  <c:v>4.295790171580989</c:v>
                </c:pt>
              </c:numCache>
            </c:numRef>
          </c:xVal>
          <c:yVal>
            <c:numRef>
              <c:f>'AX2810Q-750Kv'!$K$56:$K$64</c:f>
              <c:numCache>
                <c:formatCode>General</c:formatCode>
                <c:ptCount val="9"/>
                <c:pt idx="0">
                  <c:v>1999.233489930137</c:v>
                </c:pt>
                <c:pt idx="1">
                  <c:v>1801.78037815996</c:v>
                </c:pt>
                <c:pt idx="2">
                  <c:v>1492.739294699498</c:v>
                </c:pt>
                <c:pt idx="3">
                  <c:v>1209.54585191017</c:v>
                </c:pt>
                <c:pt idx="4">
                  <c:v>953.1604143453874</c:v>
                </c:pt>
                <c:pt idx="5">
                  <c:v>796.8857820868477</c:v>
                </c:pt>
                <c:pt idx="6">
                  <c:v>621.0995031020733</c:v>
                </c:pt>
                <c:pt idx="7">
                  <c:v>524.9655052311882</c:v>
                </c:pt>
                <c:pt idx="8">
                  <c:v>497.5845272763264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'AX2810Q-750Kv'!$E$76:$E$81</c:f>
              <c:numCache>
                <c:formatCode>General</c:formatCode>
                <c:ptCount val="6"/>
                <c:pt idx="0">
                  <c:v>18.8565550709563</c:v>
                </c:pt>
                <c:pt idx="1">
                  <c:v>13.05012193401062</c:v>
                </c:pt>
                <c:pt idx="2">
                  <c:v>6.925026706443517</c:v>
                </c:pt>
                <c:pt idx="3">
                  <c:v>5.383376658297507</c:v>
                </c:pt>
                <c:pt idx="4">
                  <c:v>4.986506553171316</c:v>
                </c:pt>
                <c:pt idx="5">
                  <c:v>4.549180660315401</c:v>
                </c:pt>
              </c:numCache>
            </c:numRef>
          </c:xVal>
          <c:yVal>
            <c:numRef>
              <c:f>'AX2810Q-750Kv'!$K$76:$K$81</c:f>
              <c:numCache>
                <c:formatCode>General</c:formatCode>
                <c:ptCount val="6"/>
                <c:pt idx="0">
                  <c:v>2294.840575889903</c:v>
                </c:pt>
                <c:pt idx="1">
                  <c:v>1564.974601062454</c:v>
                </c:pt>
                <c:pt idx="2">
                  <c:v>795.0529480024998</c:v>
                </c:pt>
                <c:pt idx="3">
                  <c:v>601.2682459840862</c:v>
                </c:pt>
                <c:pt idx="4">
                  <c:v>551.3818562976705</c:v>
                </c:pt>
                <c:pt idx="5">
                  <c:v>496.4101926999961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'AX2810Q-750Kv'!$E$93:$E$102</c:f>
              <c:numCache>
                <c:formatCode>General</c:formatCode>
                <c:ptCount val="10"/>
                <c:pt idx="0">
                  <c:v>10.13070263572766</c:v>
                </c:pt>
                <c:pt idx="1">
                  <c:v>9.167355146311014</c:v>
                </c:pt>
                <c:pt idx="2">
                  <c:v>8.40052865435784</c:v>
                </c:pt>
                <c:pt idx="3">
                  <c:v>7.666811930076675</c:v>
                </c:pt>
                <c:pt idx="4">
                  <c:v>6.966603235892876</c:v>
                </c:pt>
                <c:pt idx="5">
                  <c:v>6.300308883040226</c:v>
                </c:pt>
                <c:pt idx="6">
                  <c:v>5.619281850382145</c:v>
                </c:pt>
                <c:pt idx="7">
                  <c:v>5.071130076315349</c:v>
                </c:pt>
                <c:pt idx="8">
                  <c:v>4.50910059807279</c:v>
                </c:pt>
                <c:pt idx="9">
                  <c:v>3.732993182233829</c:v>
                </c:pt>
              </c:numCache>
            </c:numRef>
          </c:xVal>
          <c:yVal>
            <c:numRef>
              <c:f>'AX2810Q-750Kv'!$K$93:$K$102</c:f>
              <c:numCache>
                <c:formatCode>General</c:formatCode>
                <c:ptCount val="10"/>
                <c:pt idx="0">
                  <c:v>1514.456749794271</c:v>
                </c:pt>
                <c:pt idx="1">
                  <c:v>1361.377993326138</c:v>
                </c:pt>
                <c:pt idx="2">
                  <c:v>1239.527002791025</c:v>
                </c:pt>
                <c:pt idx="3">
                  <c:v>1122.937251962005</c:v>
                </c:pt>
                <c:pt idx="4">
                  <c:v>1011.672025912923</c:v>
                </c:pt>
                <c:pt idx="5">
                  <c:v>905.7958886967044</c:v>
                </c:pt>
                <c:pt idx="6">
                  <c:v>797.5786852204762</c:v>
                </c:pt>
                <c:pt idx="7">
                  <c:v>710.4757521129696</c:v>
                </c:pt>
                <c:pt idx="8">
                  <c:v>621.1676108939912</c:v>
                </c:pt>
                <c:pt idx="9">
                  <c:v>497.841854188915</c:v>
                </c:pt>
              </c:numCache>
            </c:numRef>
          </c:yVal>
          <c:smooth val="1"/>
        </c:ser>
        <c:axId val="677868424"/>
        <c:axId val="677859544"/>
      </c:scatterChart>
      <c:valAx>
        <c:axId val="677868424"/>
        <c:scaling>
          <c:orientation val="minMax"/>
        </c:scaling>
        <c:axPos val="b"/>
        <c:numFmt formatCode="General" sourceLinked="1"/>
        <c:tickLblPos val="nextTo"/>
        <c:crossAx val="677859544"/>
        <c:crosses val="autoZero"/>
        <c:crossBetween val="midCat"/>
      </c:valAx>
      <c:valAx>
        <c:axId val="677859544"/>
        <c:scaling>
          <c:orientation val="minMax"/>
        </c:scaling>
        <c:axPos val="l"/>
        <c:majorGridlines/>
        <c:numFmt formatCode="General" sourceLinked="1"/>
        <c:tickLblPos val="nextTo"/>
        <c:crossAx val="6778684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rendement Turnigy 2810Q-750Kv/traction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'AX2810Q-750Kv'!$K$14:$K$24</c:f>
              <c:numCache>
                <c:formatCode>General</c:formatCode>
                <c:ptCount val="11"/>
                <c:pt idx="0">
                  <c:v>1831.903617556772</c:v>
                </c:pt>
                <c:pt idx="1">
                  <c:v>1431.735164347313</c:v>
                </c:pt>
                <c:pt idx="2">
                  <c:v>1361.237149638074</c:v>
                </c:pt>
                <c:pt idx="3">
                  <c:v>1227.205891577918</c:v>
                </c:pt>
                <c:pt idx="4">
                  <c:v>1099.540821006917</c:v>
                </c:pt>
                <c:pt idx="5">
                  <c:v>978.3322055216662</c:v>
                </c:pt>
                <c:pt idx="6">
                  <c:v>939.7659208544264</c:v>
                </c:pt>
                <c:pt idx="7">
                  <c:v>863.672466307928</c:v>
                </c:pt>
                <c:pt idx="8">
                  <c:v>808.8279136037705</c:v>
                </c:pt>
                <c:pt idx="9">
                  <c:v>704.169669003664</c:v>
                </c:pt>
                <c:pt idx="10">
                  <c:v>639.7766206764476</c:v>
                </c:pt>
              </c:numCache>
            </c:numRef>
          </c:xVal>
          <c:yVal>
            <c:numRef>
              <c:f>'AX2810Q-750Kv'!$H$14:$H$24</c:f>
              <c:numCache>
                <c:formatCode>General</c:formatCode>
                <c:ptCount val="11"/>
                <c:pt idx="0">
                  <c:v>89.36889494884017</c:v>
                </c:pt>
                <c:pt idx="1">
                  <c:v>88.64446879495406</c:v>
                </c:pt>
                <c:pt idx="2">
                  <c:v>88.45039686174199</c:v>
                </c:pt>
                <c:pt idx="3">
                  <c:v>87.99971074148389</c:v>
                </c:pt>
                <c:pt idx="4">
                  <c:v>87.44164220855957</c:v>
                </c:pt>
                <c:pt idx="5">
                  <c:v>86.75206635407253</c:v>
                </c:pt>
                <c:pt idx="6">
                  <c:v>86.49061469440138</c:v>
                </c:pt>
                <c:pt idx="7">
                  <c:v>85.90009492748341</c:v>
                </c:pt>
                <c:pt idx="8">
                  <c:v>85.4011673921734</c:v>
                </c:pt>
                <c:pt idx="9">
                  <c:v>84.22711113759482</c:v>
                </c:pt>
                <c:pt idx="10">
                  <c:v>83.31492895868681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'AX2810Q-750Kv'!$K$36:$K$44</c:f>
              <c:numCache>
                <c:formatCode>General</c:formatCode>
                <c:ptCount val="9"/>
                <c:pt idx="0">
                  <c:v>2367.884476976797</c:v>
                </c:pt>
                <c:pt idx="1">
                  <c:v>1430.815497119997</c:v>
                </c:pt>
                <c:pt idx="2">
                  <c:v>1283.352429048808</c:v>
                </c:pt>
                <c:pt idx="3">
                  <c:v>1135.813914357272</c:v>
                </c:pt>
                <c:pt idx="4">
                  <c:v>996.3244014574644</c:v>
                </c:pt>
                <c:pt idx="5">
                  <c:v>939.5213161142834</c:v>
                </c:pt>
                <c:pt idx="6">
                  <c:v>865.0589181210657</c:v>
                </c:pt>
                <c:pt idx="7">
                  <c:v>742.198928984506</c:v>
                </c:pt>
                <c:pt idx="8">
                  <c:v>639.5210925080422</c:v>
                </c:pt>
              </c:numCache>
            </c:numRef>
          </c:xVal>
          <c:yVal>
            <c:numRef>
              <c:f>'AX2810Q-750Kv'!$H$36:$H$44</c:f>
              <c:numCache>
                <c:formatCode>General</c:formatCode>
                <c:ptCount val="9"/>
                <c:pt idx="0">
                  <c:v>88.19903658649132</c:v>
                </c:pt>
                <c:pt idx="1">
                  <c:v>87.82376218379618</c:v>
                </c:pt>
                <c:pt idx="2">
                  <c:v>87.55514126841673</c:v>
                </c:pt>
                <c:pt idx="3">
                  <c:v>87.16369173968688</c:v>
                </c:pt>
                <c:pt idx="4">
                  <c:v>86.63121455904064</c:v>
                </c:pt>
                <c:pt idx="5">
                  <c:v>86.35284673440252</c:v>
                </c:pt>
                <c:pt idx="6">
                  <c:v>85.91765015358072</c:v>
                </c:pt>
                <c:pt idx="7">
                  <c:v>84.96866009345186</c:v>
                </c:pt>
                <c:pt idx="8">
                  <c:v>83.85903912050814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'AX2810Q-750Kv'!$K$56:$K$64</c:f>
              <c:numCache>
                <c:formatCode>General</c:formatCode>
                <c:ptCount val="9"/>
                <c:pt idx="0">
                  <c:v>1999.233489930137</c:v>
                </c:pt>
                <c:pt idx="1">
                  <c:v>1801.78037815996</c:v>
                </c:pt>
                <c:pt idx="2">
                  <c:v>1492.739294699498</c:v>
                </c:pt>
                <c:pt idx="3">
                  <c:v>1209.54585191017</c:v>
                </c:pt>
                <c:pt idx="4">
                  <c:v>953.1604143453874</c:v>
                </c:pt>
                <c:pt idx="5">
                  <c:v>796.8857820868477</c:v>
                </c:pt>
                <c:pt idx="6">
                  <c:v>621.0995031020733</c:v>
                </c:pt>
                <c:pt idx="7">
                  <c:v>524.9655052311882</c:v>
                </c:pt>
                <c:pt idx="8">
                  <c:v>497.5845272763264</c:v>
                </c:pt>
              </c:numCache>
            </c:numRef>
          </c:xVal>
          <c:yVal>
            <c:numRef>
              <c:f>'AX2810Q-750Kv'!$H$56:$H$64</c:f>
              <c:numCache>
                <c:formatCode>General</c:formatCode>
                <c:ptCount val="9"/>
                <c:pt idx="0">
                  <c:v>88.758584529075</c:v>
                </c:pt>
                <c:pt idx="1">
                  <c:v>88.69900722519713</c:v>
                </c:pt>
                <c:pt idx="2">
                  <c:v>88.4472641249018</c:v>
                </c:pt>
                <c:pt idx="3">
                  <c:v>87.92638858356419</c:v>
                </c:pt>
                <c:pt idx="4">
                  <c:v>86.99537583496718</c:v>
                </c:pt>
                <c:pt idx="5">
                  <c:v>86.02963838948048</c:v>
                </c:pt>
                <c:pt idx="6">
                  <c:v>84.26197848593132</c:v>
                </c:pt>
                <c:pt idx="7">
                  <c:v>82.76501995487538</c:v>
                </c:pt>
                <c:pt idx="8">
                  <c:v>82.23342690178778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'AX2810Q-750Kv'!$K$76:$K$81</c:f>
              <c:numCache>
                <c:formatCode>General</c:formatCode>
                <c:ptCount val="6"/>
                <c:pt idx="0">
                  <c:v>2294.840575889903</c:v>
                </c:pt>
                <c:pt idx="1">
                  <c:v>1564.974601062454</c:v>
                </c:pt>
                <c:pt idx="2">
                  <c:v>795.0529480024998</c:v>
                </c:pt>
                <c:pt idx="3">
                  <c:v>601.2682459840862</c:v>
                </c:pt>
                <c:pt idx="4">
                  <c:v>551.3818562976705</c:v>
                </c:pt>
                <c:pt idx="5">
                  <c:v>496.4101926999961</c:v>
                </c:pt>
              </c:numCache>
            </c:numRef>
          </c:xVal>
          <c:yVal>
            <c:numRef>
              <c:f>'AX2810Q-750Kv'!$H$76:$H$81</c:f>
              <c:numCache>
                <c:formatCode>General</c:formatCode>
                <c:ptCount val="6"/>
                <c:pt idx="0">
                  <c:v>85.9628336751824</c:v>
                </c:pt>
                <c:pt idx="1">
                  <c:v>86.27225239099012</c:v>
                </c:pt>
                <c:pt idx="2">
                  <c:v>84.66508376685438</c:v>
                </c:pt>
                <c:pt idx="3">
                  <c:v>83.00822961319352</c:v>
                </c:pt>
                <c:pt idx="4">
                  <c:v>82.35688017918218</c:v>
                </c:pt>
                <c:pt idx="5">
                  <c:v>81.47408115260696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'AX2810Q-750Kv'!$K$93:$K$102</c:f>
              <c:numCache>
                <c:formatCode>General</c:formatCode>
                <c:ptCount val="10"/>
                <c:pt idx="0">
                  <c:v>1514.456749794271</c:v>
                </c:pt>
                <c:pt idx="1">
                  <c:v>1361.377993326138</c:v>
                </c:pt>
                <c:pt idx="2">
                  <c:v>1239.527002791025</c:v>
                </c:pt>
                <c:pt idx="3">
                  <c:v>1122.937251962005</c:v>
                </c:pt>
                <c:pt idx="4">
                  <c:v>1011.672025912923</c:v>
                </c:pt>
                <c:pt idx="5">
                  <c:v>905.7958886967044</c:v>
                </c:pt>
                <c:pt idx="6">
                  <c:v>797.5786852204762</c:v>
                </c:pt>
                <c:pt idx="7">
                  <c:v>710.4757521129696</c:v>
                </c:pt>
                <c:pt idx="8">
                  <c:v>621.1676108939912</c:v>
                </c:pt>
                <c:pt idx="9">
                  <c:v>497.841854188915</c:v>
                </c:pt>
              </c:numCache>
            </c:numRef>
          </c:xVal>
          <c:yVal>
            <c:numRef>
              <c:f>'AX2810Q-750Kv'!$H$93:$H$102</c:f>
              <c:numCache>
                <c:formatCode>General</c:formatCode>
                <c:ptCount val="10"/>
                <c:pt idx="0">
                  <c:v>89.35498958984453</c:v>
                </c:pt>
                <c:pt idx="1">
                  <c:v>88.96737480673434</c:v>
                </c:pt>
                <c:pt idx="2">
                  <c:v>88.56730160497483</c:v>
                </c:pt>
                <c:pt idx="3">
                  <c:v>88.08274915463456</c:v>
                </c:pt>
                <c:pt idx="4">
                  <c:v>87.49677941503821</c:v>
                </c:pt>
                <c:pt idx="5">
                  <c:v>86.788222237055</c:v>
                </c:pt>
                <c:pt idx="6">
                  <c:v>85.85438223738686</c:v>
                </c:pt>
                <c:pt idx="7">
                  <c:v>84.88948897045468</c:v>
                </c:pt>
                <c:pt idx="8">
                  <c:v>83.62214079528799</c:v>
                </c:pt>
                <c:pt idx="9">
                  <c:v>81.17007299635907</c:v>
                </c:pt>
              </c:numCache>
            </c:numRef>
          </c:yVal>
          <c:smooth val="1"/>
        </c:ser>
        <c:axId val="677808504"/>
        <c:axId val="677848952"/>
      </c:scatterChart>
      <c:valAx>
        <c:axId val="677808504"/>
        <c:scaling>
          <c:orientation val="minMax"/>
        </c:scaling>
        <c:axPos val="b"/>
        <c:numFmt formatCode="General" sourceLinked="1"/>
        <c:tickLblPos val="nextTo"/>
        <c:crossAx val="677848952"/>
        <c:crosses val="autoZero"/>
        <c:crossBetween val="midCat"/>
      </c:valAx>
      <c:valAx>
        <c:axId val="677848952"/>
        <c:scaling>
          <c:orientation val="minMax"/>
        </c:scaling>
        <c:axPos val="l"/>
        <c:majorGridlines/>
        <c:numFmt formatCode="General" sourceLinked="1"/>
        <c:tickLblPos val="nextTo"/>
        <c:crossAx val="6778085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temps de vol à 65% des 5Ah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'AX2810Q-750Kv'!$K$14:$K$24</c:f>
              <c:numCache>
                <c:formatCode>General</c:formatCode>
                <c:ptCount val="11"/>
                <c:pt idx="0">
                  <c:v>1831.903617556772</c:v>
                </c:pt>
                <c:pt idx="1">
                  <c:v>1431.735164347313</c:v>
                </c:pt>
                <c:pt idx="2">
                  <c:v>1361.237149638074</c:v>
                </c:pt>
                <c:pt idx="3">
                  <c:v>1227.205891577918</c:v>
                </c:pt>
                <c:pt idx="4">
                  <c:v>1099.540821006917</c:v>
                </c:pt>
                <c:pt idx="5">
                  <c:v>978.3322055216662</c:v>
                </c:pt>
                <c:pt idx="6">
                  <c:v>939.7659208544264</c:v>
                </c:pt>
                <c:pt idx="7">
                  <c:v>863.672466307928</c:v>
                </c:pt>
                <c:pt idx="8">
                  <c:v>808.8279136037705</c:v>
                </c:pt>
                <c:pt idx="9">
                  <c:v>704.169669003664</c:v>
                </c:pt>
                <c:pt idx="10">
                  <c:v>639.7766206764476</c:v>
                </c:pt>
              </c:numCache>
            </c:numRef>
          </c:xVal>
          <c:yVal>
            <c:numRef>
              <c:f>'AX2810Q-750Kv'!$O$14:$O$24</c:f>
              <c:numCache>
                <c:formatCode>General</c:formatCode>
                <c:ptCount val="11"/>
                <c:pt idx="0">
                  <c:v>6.638787000423534</c:v>
                </c:pt>
                <c:pt idx="1">
                  <c:v>8.374784764078146</c:v>
                </c:pt>
                <c:pt idx="2">
                  <c:v>8.779221377626428</c:v>
                </c:pt>
                <c:pt idx="3">
                  <c:v>9.66675930994414</c:v>
                </c:pt>
                <c:pt idx="4">
                  <c:v>10.69679058671462</c:v>
                </c:pt>
                <c:pt idx="5">
                  <c:v>11.90072962288412</c:v>
                </c:pt>
                <c:pt idx="6">
                  <c:v>12.34274467598235</c:v>
                </c:pt>
                <c:pt idx="7">
                  <c:v>13.3187845578173</c:v>
                </c:pt>
                <c:pt idx="8">
                  <c:v>14.12377909397407</c:v>
                </c:pt>
                <c:pt idx="9">
                  <c:v>15.96515005942287</c:v>
                </c:pt>
                <c:pt idx="10">
                  <c:v>17.35748147982545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'AX2810Q-750Kv'!$K$36:$K$44</c:f>
              <c:numCache>
                <c:formatCode>General</c:formatCode>
                <c:ptCount val="9"/>
                <c:pt idx="0">
                  <c:v>2367.884476976797</c:v>
                </c:pt>
                <c:pt idx="1">
                  <c:v>1430.815497119997</c:v>
                </c:pt>
                <c:pt idx="2">
                  <c:v>1283.352429048808</c:v>
                </c:pt>
                <c:pt idx="3">
                  <c:v>1135.813914357272</c:v>
                </c:pt>
                <c:pt idx="4">
                  <c:v>996.3244014574644</c:v>
                </c:pt>
                <c:pt idx="5">
                  <c:v>939.5213161142834</c:v>
                </c:pt>
                <c:pt idx="6">
                  <c:v>865.0589181210657</c:v>
                </c:pt>
                <c:pt idx="7">
                  <c:v>742.198928984506</c:v>
                </c:pt>
                <c:pt idx="8">
                  <c:v>639.5210925080422</c:v>
                </c:pt>
              </c:numCache>
            </c:numRef>
          </c:xVal>
          <c:yVal>
            <c:numRef>
              <c:f>'AX2810Q-750Kv'!$O$36:$O$44</c:f>
              <c:numCache>
                <c:formatCode>General</c:formatCode>
                <c:ptCount val="9"/>
                <c:pt idx="0">
                  <c:v>4.45840331588346</c:v>
                </c:pt>
                <c:pt idx="1">
                  <c:v>7.216217091160202</c:v>
                </c:pt>
                <c:pt idx="2">
                  <c:v>7.994402925333122</c:v>
                </c:pt>
                <c:pt idx="3">
                  <c:v>8.96126666558839</c:v>
                </c:pt>
                <c:pt idx="4">
                  <c:v>10.11823102941915</c:v>
                </c:pt>
                <c:pt idx="5">
                  <c:v>10.6797194349935</c:v>
                </c:pt>
                <c:pt idx="6">
                  <c:v>11.51756081922527</c:v>
                </c:pt>
                <c:pt idx="7">
                  <c:v>13.23009107364909</c:v>
                </c:pt>
                <c:pt idx="8">
                  <c:v>15.10738992061743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'AX2810Q-750Kv'!$K$56:$K$64</c:f>
              <c:numCache>
                <c:formatCode>General</c:formatCode>
                <c:ptCount val="9"/>
                <c:pt idx="0">
                  <c:v>1999.233489930137</c:v>
                </c:pt>
                <c:pt idx="1">
                  <c:v>1801.78037815996</c:v>
                </c:pt>
                <c:pt idx="2">
                  <c:v>1492.739294699498</c:v>
                </c:pt>
                <c:pt idx="3">
                  <c:v>1209.54585191017</c:v>
                </c:pt>
                <c:pt idx="4">
                  <c:v>953.1604143453874</c:v>
                </c:pt>
                <c:pt idx="5">
                  <c:v>796.8857820868477</c:v>
                </c:pt>
                <c:pt idx="6">
                  <c:v>621.0995031020733</c:v>
                </c:pt>
                <c:pt idx="7">
                  <c:v>524.9655052311882</c:v>
                </c:pt>
                <c:pt idx="8">
                  <c:v>497.5845272763264</c:v>
                </c:pt>
              </c:numCache>
            </c:numRef>
          </c:xVal>
          <c:yVal>
            <c:numRef>
              <c:f>'AX2810Q-750Kv'!$O$56:$O$64</c:f>
              <c:numCache>
                <c:formatCode>General</c:formatCode>
                <c:ptCount val="9"/>
                <c:pt idx="0">
                  <c:v>5.048795054141267</c:v>
                </c:pt>
                <c:pt idx="1">
                  <c:v>5.578339614782382</c:v>
                </c:pt>
                <c:pt idx="2">
                  <c:v>6.673931327831188</c:v>
                </c:pt>
                <c:pt idx="3">
                  <c:v>8.13868667618754</c:v>
                </c:pt>
                <c:pt idx="4">
                  <c:v>10.15682824613895</c:v>
                </c:pt>
                <c:pt idx="5">
                  <c:v>11.96532105667197</c:v>
                </c:pt>
                <c:pt idx="6">
                  <c:v>14.96203968879483</c:v>
                </c:pt>
                <c:pt idx="7">
                  <c:v>17.33656431009268</c:v>
                </c:pt>
                <c:pt idx="8">
                  <c:v>18.15731143388074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'AX2810Q-750Kv'!$K$76:$K$81</c:f>
              <c:numCache>
                <c:formatCode>General</c:formatCode>
                <c:ptCount val="6"/>
                <c:pt idx="0">
                  <c:v>2294.840575889903</c:v>
                </c:pt>
                <c:pt idx="1">
                  <c:v>1564.974601062454</c:v>
                </c:pt>
                <c:pt idx="2">
                  <c:v>795.0529480024998</c:v>
                </c:pt>
                <c:pt idx="3">
                  <c:v>601.2682459840862</c:v>
                </c:pt>
                <c:pt idx="4">
                  <c:v>551.3818562976705</c:v>
                </c:pt>
                <c:pt idx="5">
                  <c:v>496.4101926999961</c:v>
                </c:pt>
              </c:numCache>
            </c:numRef>
          </c:xVal>
          <c:yVal>
            <c:numRef>
              <c:f>'AX2810Q-750Kv'!$O$76:$O$81</c:f>
              <c:numCache>
                <c:formatCode>General</c:formatCode>
                <c:ptCount val="6"/>
                <c:pt idx="0">
                  <c:v>4.136492572820952</c:v>
                </c:pt>
                <c:pt idx="1">
                  <c:v>5.976955647956055</c:v>
                </c:pt>
                <c:pt idx="2">
                  <c:v>11.26349446817634</c:v>
                </c:pt>
                <c:pt idx="3">
                  <c:v>14.48904747910905</c:v>
                </c:pt>
                <c:pt idx="4">
                  <c:v>15.642213475162</c:v>
                </c:pt>
                <c:pt idx="5">
                  <c:v>17.14594469294876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'AX2810Q-750Kv'!$K$93:$K$102</c:f>
              <c:numCache>
                <c:formatCode>General</c:formatCode>
                <c:ptCount val="10"/>
                <c:pt idx="0">
                  <c:v>1514.456749794271</c:v>
                </c:pt>
                <c:pt idx="1">
                  <c:v>1361.377993326138</c:v>
                </c:pt>
                <c:pt idx="2">
                  <c:v>1239.527002791025</c:v>
                </c:pt>
                <c:pt idx="3">
                  <c:v>1122.937251962005</c:v>
                </c:pt>
                <c:pt idx="4">
                  <c:v>1011.672025912923</c:v>
                </c:pt>
                <c:pt idx="5">
                  <c:v>905.7958886967044</c:v>
                </c:pt>
                <c:pt idx="6">
                  <c:v>797.5786852204762</c:v>
                </c:pt>
                <c:pt idx="7">
                  <c:v>710.4757521129696</c:v>
                </c:pt>
                <c:pt idx="8">
                  <c:v>621.1676108939912</c:v>
                </c:pt>
                <c:pt idx="9">
                  <c:v>497.841854188915</c:v>
                </c:pt>
              </c:numCache>
            </c:numRef>
          </c:xVal>
          <c:yVal>
            <c:numRef>
              <c:f>'AX2810Q-750Kv'!$O$93:$O$102</c:f>
              <c:numCache>
                <c:formatCode>General</c:formatCode>
                <c:ptCount val="10"/>
                <c:pt idx="0">
                  <c:v>7.699367240818978</c:v>
                </c:pt>
                <c:pt idx="1">
                  <c:v>8.508451865900227</c:v>
                </c:pt>
                <c:pt idx="2">
                  <c:v>9.285129925666867</c:v>
                </c:pt>
                <c:pt idx="3">
                  <c:v>10.17372027791739</c:v>
                </c:pt>
                <c:pt idx="4">
                  <c:v>11.19627418971322</c:v>
                </c:pt>
                <c:pt idx="5">
                  <c:v>12.38034538432994</c:v>
                </c:pt>
                <c:pt idx="6">
                  <c:v>13.88077730870459</c:v>
                </c:pt>
                <c:pt idx="7">
                  <c:v>15.38118699898826</c:v>
                </c:pt>
                <c:pt idx="8">
                  <c:v>17.29834992666554</c:v>
                </c:pt>
                <c:pt idx="9">
                  <c:v>20.89476090425772</c:v>
                </c:pt>
              </c:numCache>
            </c:numRef>
          </c:yVal>
          <c:smooth val="1"/>
        </c:ser>
        <c:axId val="780394152"/>
        <c:axId val="780397304"/>
      </c:scatterChart>
      <c:valAx>
        <c:axId val="780394152"/>
        <c:scaling>
          <c:orientation val="minMax"/>
        </c:scaling>
        <c:axPos val="b"/>
        <c:numFmt formatCode="General" sourceLinked="1"/>
        <c:tickLblPos val="nextTo"/>
        <c:crossAx val="780397304"/>
        <c:crosses val="autoZero"/>
        <c:crossBetween val="midCat"/>
      </c:valAx>
      <c:valAx>
        <c:axId val="780397304"/>
        <c:scaling>
          <c:orientation val="minMax"/>
        </c:scaling>
        <c:axPos val="l"/>
        <c:majorGridlines/>
        <c:numFmt formatCode="General" sourceLinked="1"/>
        <c:tickLblPos val="nextTo"/>
        <c:crossAx val="7803941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globale (grs/W)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'3508-380Kv'!$F$14:$F$24</c:f>
              <c:numCache>
                <c:formatCode>General</c:formatCode>
                <c:ptCount val="11"/>
                <c:pt idx="0">
                  <c:v>188.2708198155936</c:v>
                </c:pt>
                <c:pt idx="1">
                  <c:v>188.2708198155936</c:v>
                </c:pt>
                <c:pt idx="2">
                  <c:v>152.3554713796343</c:v>
                </c:pt>
                <c:pt idx="3">
                  <c:v>131.0545055410805</c:v>
                </c:pt>
                <c:pt idx="4">
                  <c:v>111.7725216465861</c:v>
                </c:pt>
                <c:pt idx="5">
                  <c:v>94.42533794611209</c:v>
                </c:pt>
                <c:pt idx="6">
                  <c:v>102.3429810687592</c:v>
                </c:pt>
                <c:pt idx="7">
                  <c:v>78.92627739022804</c:v>
                </c:pt>
                <c:pt idx="8">
                  <c:v>65.18604835558288</c:v>
                </c:pt>
                <c:pt idx="9">
                  <c:v>53.11261752039086</c:v>
                </c:pt>
                <c:pt idx="10">
                  <c:v>59.43092204431535</c:v>
                </c:pt>
              </c:numCache>
            </c:numRef>
          </c:xVal>
          <c:yVal>
            <c:numRef>
              <c:f>'3508-380Kv'!$L$14:$L$24</c:f>
              <c:numCache>
                <c:formatCode>General</c:formatCode>
                <c:ptCount val="11"/>
                <c:pt idx="0">
                  <c:v>7.753257278850221</c:v>
                </c:pt>
                <c:pt idx="1">
                  <c:v>7.753257278850221</c:v>
                </c:pt>
                <c:pt idx="2">
                  <c:v>8.324306983133827</c:v>
                </c:pt>
                <c:pt idx="3">
                  <c:v>8.75215656260309</c:v>
                </c:pt>
                <c:pt idx="4">
                  <c:v>9.224228761159623</c:v>
                </c:pt>
                <c:pt idx="5">
                  <c:v>9.747286906044181</c:v>
                </c:pt>
                <c:pt idx="6">
                  <c:v>9.494620302196992</c:v>
                </c:pt>
                <c:pt idx="7">
                  <c:v>10.32939516813996</c:v>
                </c:pt>
                <c:pt idx="8">
                  <c:v>10.98017539105879</c:v>
                </c:pt>
                <c:pt idx="9">
                  <c:v>11.71107820793357</c:v>
                </c:pt>
                <c:pt idx="10">
                  <c:v>11.30567273118542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'3508-380Kv'!$F$36:$F$43</c:f>
              <c:numCache>
                <c:formatCode>General</c:formatCode>
                <c:ptCount val="8"/>
                <c:pt idx="0">
                  <c:v>111.8468149883298</c:v>
                </c:pt>
                <c:pt idx="1">
                  <c:v>95.96645415365438</c:v>
                </c:pt>
                <c:pt idx="2">
                  <c:v>81.94541626661042</c:v>
                </c:pt>
                <c:pt idx="3">
                  <c:v>70.23478539790338</c:v>
                </c:pt>
                <c:pt idx="4">
                  <c:v>62.77305258704204</c:v>
                </c:pt>
                <c:pt idx="5">
                  <c:v>55.8428216240441</c:v>
                </c:pt>
                <c:pt idx="6">
                  <c:v>49.42780740617366</c:v>
                </c:pt>
                <c:pt idx="7">
                  <c:v>43.51134687315211</c:v>
                </c:pt>
              </c:numCache>
            </c:numRef>
          </c:xVal>
          <c:yVal>
            <c:numRef>
              <c:f>'3508-380Kv'!$L$36:$L$43</c:f>
              <c:numCache>
                <c:formatCode>General</c:formatCode>
                <c:ptCount val="8"/>
                <c:pt idx="0">
                  <c:v>9.093843307730726</c:v>
                </c:pt>
                <c:pt idx="1">
                  <c:v>9.572765759144656</c:v>
                </c:pt>
                <c:pt idx="2">
                  <c:v>10.08845878866918</c:v>
                </c:pt>
                <c:pt idx="3">
                  <c:v>10.61355717366941</c:v>
                </c:pt>
                <c:pt idx="4">
                  <c:v>11.00957222235922</c:v>
                </c:pt>
                <c:pt idx="5">
                  <c:v>11.43424671777888</c:v>
                </c:pt>
                <c:pt idx="6">
                  <c:v>11.8904898375786</c:v>
                </c:pt>
                <c:pt idx="7">
                  <c:v>12.38154355351641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'3508-380Kv'!$F$55:$F$59</c:f>
              <c:numCache>
                <c:formatCode>General</c:formatCode>
                <c:ptCount val="5"/>
                <c:pt idx="0">
                  <c:v>99.17495605847881</c:v>
                </c:pt>
                <c:pt idx="1">
                  <c:v>95.513593424458</c:v>
                </c:pt>
                <c:pt idx="2">
                  <c:v>85.05330199740139</c:v>
                </c:pt>
                <c:pt idx="3">
                  <c:v>55.59028091564949</c:v>
                </c:pt>
                <c:pt idx="4">
                  <c:v>49.44951476151711</c:v>
                </c:pt>
              </c:numCache>
            </c:numRef>
          </c:xVal>
          <c:yVal>
            <c:numRef>
              <c:f>'3508-380Kv'!$L$55:$L$59</c:f>
              <c:numCache>
                <c:formatCode>General</c:formatCode>
                <c:ptCount val="5"/>
                <c:pt idx="0">
                  <c:v>8.68972608422908</c:v>
                </c:pt>
                <c:pt idx="1">
                  <c:v>8.798730500895283</c:v>
                </c:pt>
                <c:pt idx="2">
                  <c:v>9.141934545775015</c:v>
                </c:pt>
                <c:pt idx="3">
                  <c:v>10.49304681157336</c:v>
                </c:pt>
                <c:pt idx="4">
                  <c:v>10.8906283273013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'3508-380Kv'!$F$72:$F$77</c:f>
              <c:numCache>
                <c:formatCode>General</c:formatCode>
                <c:ptCount val="6"/>
                <c:pt idx="0">
                  <c:v>137.7606887615113</c:v>
                </c:pt>
                <c:pt idx="1">
                  <c:v>114.8853485456277</c:v>
                </c:pt>
                <c:pt idx="2">
                  <c:v>79.82285616885565</c:v>
                </c:pt>
                <c:pt idx="3">
                  <c:v>56.28798050640904</c:v>
                </c:pt>
                <c:pt idx="4">
                  <c:v>42.26889808647608</c:v>
                </c:pt>
                <c:pt idx="5">
                  <c:v>40.63138282248415</c:v>
                </c:pt>
              </c:numCache>
            </c:numRef>
          </c:xVal>
          <c:yVal>
            <c:numRef>
              <c:f>'3508-380Kv'!$L$72:$L$77</c:f>
              <c:numCache>
                <c:formatCode>General</c:formatCode>
                <c:ptCount val="6"/>
                <c:pt idx="0">
                  <c:v>8.769397816319946</c:v>
                </c:pt>
                <c:pt idx="1">
                  <c:v>9.340956302935554</c:v>
                </c:pt>
                <c:pt idx="2">
                  <c:v>10.58294916831096</c:v>
                </c:pt>
                <c:pt idx="3">
                  <c:v>11.90000881406539</c:v>
                </c:pt>
                <c:pt idx="4">
                  <c:v>13.07447349959312</c:v>
                </c:pt>
                <c:pt idx="5">
                  <c:v>13.24321535880159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'3508-380Kv'!$F$89:$F$98</c:f>
              <c:numCache>
                <c:formatCode>General</c:formatCode>
                <c:ptCount val="10"/>
                <c:pt idx="0">
                  <c:v>203.975897552296</c:v>
                </c:pt>
                <c:pt idx="1">
                  <c:v>174.6238845808222</c:v>
                </c:pt>
                <c:pt idx="2">
                  <c:v>152.3583602075557</c:v>
                </c:pt>
                <c:pt idx="3">
                  <c:v>132.0118704278649</c:v>
                </c:pt>
                <c:pt idx="4">
                  <c:v>113.5113457817563</c:v>
                </c:pt>
                <c:pt idx="5">
                  <c:v>93.64177086364572</c:v>
                </c:pt>
                <c:pt idx="6">
                  <c:v>81.74659541375727</c:v>
                </c:pt>
                <c:pt idx="7">
                  <c:v>68.32668240945634</c:v>
                </c:pt>
                <c:pt idx="8">
                  <c:v>56.44119673251206</c:v>
                </c:pt>
                <c:pt idx="9">
                  <c:v>48.48414007015961</c:v>
                </c:pt>
              </c:numCache>
            </c:numRef>
          </c:xVal>
          <c:yVal>
            <c:numRef>
              <c:f>'3508-380Kv'!$L$89:$L$98</c:f>
              <c:numCache>
                <c:formatCode>General</c:formatCode>
                <c:ptCount val="10"/>
                <c:pt idx="0">
                  <c:v>6.924082052510442</c:v>
                </c:pt>
                <c:pt idx="1">
                  <c:v>7.29381529303357</c:v>
                </c:pt>
                <c:pt idx="2">
                  <c:v>7.632260854712076</c:v>
                </c:pt>
                <c:pt idx="3">
                  <c:v>8.002202486358468</c:v>
                </c:pt>
                <c:pt idx="4">
                  <c:v>8.407975769251166</c:v>
                </c:pt>
                <c:pt idx="5">
                  <c:v>8.949431701208085</c:v>
                </c:pt>
                <c:pt idx="6">
                  <c:v>9.348279906931486</c:v>
                </c:pt>
                <c:pt idx="7">
                  <c:v>9.89583929067003</c:v>
                </c:pt>
                <c:pt idx="8">
                  <c:v>10.50559909237978</c:v>
                </c:pt>
                <c:pt idx="9">
                  <c:v>11.0094489964966</c:v>
                </c:pt>
              </c:numCache>
            </c:numRef>
          </c:yVal>
          <c:smooth val="1"/>
        </c:ser>
        <c:axId val="685270424"/>
        <c:axId val="685273576"/>
      </c:scatterChart>
      <c:valAx>
        <c:axId val="685270424"/>
        <c:scaling>
          <c:orientation val="minMax"/>
        </c:scaling>
        <c:axPos val="b"/>
        <c:numFmt formatCode="General" sourceLinked="1"/>
        <c:tickLblPos val="nextTo"/>
        <c:crossAx val="685273576"/>
        <c:crosses val="autoZero"/>
        <c:crossBetween val="midCat"/>
      </c:valAx>
      <c:valAx>
        <c:axId val="685273576"/>
        <c:scaling>
          <c:orientation val="minMax"/>
        </c:scaling>
        <c:axPos val="l"/>
        <c:majorGridlines/>
        <c:numFmt formatCode="General" sourceLinked="1"/>
        <c:tickLblPos val="nextTo"/>
        <c:crossAx val="68527042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mécanique (grs/W)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'3508-380Kv'!$G$14:$G$24</c:f>
              <c:numCache>
                <c:formatCode>General</c:formatCode>
                <c:ptCount val="11"/>
                <c:pt idx="0">
                  <c:v>165.8028966497781</c:v>
                </c:pt>
                <c:pt idx="1">
                  <c:v>165.8028966497781</c:v>
                </c:pt>
                <c:pt idx="2">
                  <c:v>134.2766550514091</c:v>
                </c:pt>
                <c:pt idx="3">
                  <c:v>115.4893270887995</c:v>
                </c:pt>
                <c:pt idx="4">
                  <c:v>98.42127131105741</c:v>
                </c:pt>
                <c:pt idx="5">
                  <c:v>83.01369511478698</c:v>
                </c:pt>
                <c:pt idx="6">
                  <c:v>90.05229734760394</c:v>
                </c:pt>
                <c:pt idx="7">
                  <c:v>69.20477604407409</c:v>
                </c:pt>
                <c:pt idx="8">
                  <c:v>56.92947744015132</c:v>
                </c:pt>
                <c:pt idx="9">
                  <c:v>46.1193501457899</c:v>
                </c:pt>
                <c:pt idx="10">
                  <c:v>51.77911418828455</c:v>
                </c:pt>
              </c:numCache>
            </c:numRef>
          </c:xVal>
          <c:yVal>
            <c:numRef>
              <c:f>'3508-380Kv'!$L$14:$L$24</c:f>
              <c:numCache>
                <c:formatCode>General</c:formatCode>
                <c:ptCount val="11"/>
                <c:pt idx="0">
                  <c:v>7.753257278850221</c:v>
                </c:pt>
                <c:pt idx="1">
                  <c:v>7.753257278850221</c:v>
                </c:pt>
                <c:pt idx="2">
                  <c:v>8.324306983133827</c:v>
                </c:pt>
                <c:pt idx="3">
                  <c:v>8.75215656260309</c:v>
                </c:pt>
                <c:pt idx="4">
                  <c:v>9.224228761159623</c:v>
                </c:pt>
                <c:pt idx="5">
                  <c:v>9.747286906044181</c:v>
                </c:pt>
                <c:pt idx="6">
                  <c:v>9.494620302196992</c:v>
                </c:pt>
                <c:pt idx="7">
                  <c:v>10.32939516813996</c:v>
                </c:pt>
                <c:pt idx="8">
                  <c:v>10.98017539105879</c:v>
                </c:pt>
                <c:pt idx="9">
                  <c:v>11.71107820793357</c:v>
                </c:pt>
                <c:pt idx="10">
                  <c:v>11.30567273118542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'3508-380Kv'!$G$36:$G$43</c:f>
              <c:numCache>
                <c:formatCode>General</c:formatCode>
                <c:ptCount val="8"/>
                <c:pt idx="0">
                  <c:v>96.43794157298508</c:v>
                </c:pt>
                <c:pt idx="1">
                  <c:v>82.7802284236747</c:v>
                </c:pt>
                <c:pt idx="2">
                  <c:v>70.66681773484532</c:v>
                </c:pt>
                <c:pt idx="3">
                  <c:v>60.5077682655547</c:v>
                </c:pt>
                <c:pt idx="4">
                  <c:v>54.01406211234455</c:v>
                </c:pt>
                <c:pt idx="5">
                  <c:v>47.96822730671804</c:v>
                </c:pt>
                <c:pt idx="6">
                  <c:v>42.35921834742751</c:v>
                </c:pt>
                <c:pt idx="7">
                  <c:v>37.17553904718324</c:v>
                </c:pt>
              </c:numCache>
            </c:numRef>
          </c:xVal>
          <c:yVal>
            <c:numRef>
              <c:f>'3508-380Kv'!$L$36:$L$43</c:f>
              <c:numCache>
                <c:formatCode>General</c:formatCode>
                <c:ptCount val="8"/>
                <c:pt idx="0">
                  <c:v>9.093843307730726</c:v>
                </c:pt>
                <c:pt idx="1">
                  <c:v>9.572765759144656</c:v>
                </c:pt>
                <c:pt idx="2">
                  <c:v>10.08845878866918</c:v>
                </c:pt>
                <c:pt idx="3">
                  <c:v>10.61355717366941</c:v>
                </c:pt>
                <c:pt idx="4">
                  <c:v>11.00957222235922</c:v>
                </c:pt>
                <c:pt idx="5">
                  <c:v>11.43424671777888</c:v>
                </c:pt>
                <c:pt idx="6">
                  <c:v>11.8904898375786</c:v>
                </c:pt>
                <c:pt idx="7">
                  <c:v>12.38154355351641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'3508-380Kv'!$G$55:$G$59</c:f>
              <c:numCache>
                <c:formatCode>General</c:formatCode>
                <c:ptCount val="5"/>
                <c:pt idx="0">
                  <c:v>86.15630822767024</c:v>
                </c:pt>
                <c:pt idx="1">
                  <c:v>82.96649172652825</c:v>
                </c:pt>
                <c:pt idx="2">
                  <c:v>73.83611800528701</c:v>
                </c:pt>
                <c:pt idx="3">
                  <c:v>47.97617769205992</c:v>
                </c:pt>
                <c:pt idx="4">
                  <c:v>42.55958480428117</c:v>
                </c:pt>
              </c:numCache>
            </c:numRef>
          </c:xVal>
          <c:yVal>
            <c:numRef>
              <c:f>'3508-380Kv'!$L$55:$L$59</c:f>
              <c:numCache>
                <c:formatCode>General</c:formatCode>
                <c:ptCount val="5"/>
                <c:pt idx="0">
                  <c:v>8.68972608422908</c:v>
                </c:pt>
                <c:pt idx="1">
                  <c:v>8.798730500895283</c:v>
                </c:pt>
                <c:pt idx="2">
                  <c:v>9.141934545775015</c:v>
                </c:pt>
                <c:pt idx="3">
                  <c:v>10.49304681157336</c:v>
                </c:pt>
                <c:pt idx="4">
                  <c:v>10.8906283273013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'3508-380Kv'!$G$72:$G$77</c:f>
              <c:numCache>
                <c:formatCode>General</c:formatCode>
                <c:ptCount val="6"/>
                <c:pt idx="0">
                  <c:v>114.5403856758424</c:v>
                </c:pt>
                <c:pt idx="1">
                  <c:v>95.89589239045321</c:v>
                </c:pt>
                <c:pt idx="2">
                  <c:v>66.97565742869118</c:v>
                </c:pt>
                <c:pt idx="3">
                  <c:v>47.28903489046773</c:v>
                </c:pt>
                <c:pt idx="4">
                  <c:v>35.43918519607752</c:v>
                </c:pt>
                <c:pt idx="5">
                  <c:v>34.04854767042141</c:v>
                </c:pt>
              </c:numCache>
            </c:numRef>
          </c:xVal>
          <c:yVal>
            <c:numRef>
              <c:f>'3508-380Kv'!$L$72:$L$77</c:f>
              <c:numCache>
                <c:formatCode>General</c:formatCode>
                <c:ptCount val="6"/>
                <c:pt idx="0">
                  <c:v>8.769397816319946</c:v>
                </c:pt>
                <c:pt idx="1">
                  <c:v>9.340956302935554</c:v>
                </c:pt>
                <c:pt idx="2">
                  <c:v>10.58294916831096</c:v>
                </c:pt>
                <c:pt idx="3">
                  <c:v>11.90000881406539</c:v>
                </c:pt>
                <c:pt idx="4">
                  <c:v>13.07447349959312</c:v>
                </c:pt>
                <c:pt idx="5">
                  <c:v>13.24321535880159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'3508-380Kv'!$G$89:$G$98</c:f>
              <c:numCache>
                <c:formatCode>General</c:formatCode>
                <c:ptCount val="10"/>
                <c:pt idx="0">
                  <c:v>180.982934601007</c:v>
                </c:pt>
                <c:pt idx="1">
                  <c:v>154.9935577811682</c:v>
                </c:pt>
                <c:pt idx="2">
                  <c:v>135.2089003256108</c:v>
                </c:pt>
                <c:pt idx="3">
                  <c:v>117.073828171674</c:v>
                </c:pt>
                <c:pt idx="4">
                  <c:v>100.536120871902</c:v>
                </c:pt>
                <c:pt idx="5">
                  <c:v>82.72250022495047</c:v>
                </c:pt>
                <c:pt idx="6">
                  <c:v>72.03243744207408</c:v>
                </c:pt>
                <c:pt idx="7">
                  <c:v>59.95017977990953</c:v>
                </c:pt>
                <c:pt idx="8">
                  <c:v>49.23246646483698</c:v>
                </c:pt>
                <c:pt idx="9">
                  <c:v>42.0507706785595</c:v>
                </c:pt>
              </c:numCache>
            </c:numRef>
          </c:xVal>
          <c:yVal>
            <c:numRef>
              <c:f>'3508-380Kv'!$L$89:$L$98</c:f>
              <c:numCache>
                <c:formatCode>General</c:formatCode>
                <c:ptCount val="10"/>
                <c:pt idx="0">
                  <c:v>6.924082052510442</c:v>
                </c:pt>
                <c:pt idx="1">
                  <c:v>7.29381529303357</c:v>
                </c:pt>
                <c:pt idx="2">
                  <c:v>7.632260854712076</c:v>
                </c:pt>
                <c:pt idx="3">
                  <c:v>8.002202486358468</c:v>
                </c:pt>
                <c:pt idx="4">
                  <c:v>8.407975769251166</c:v>
                </c:pt>
                <c:pt idx="5">
                  <c:v>8.949431701208085</c:v>
                </c:pt>
                <c:pt idx="6">
                  <c:v>9.348279906931486</c:v>
                </c:pt>
                <c:pt idx="7">
                  <c:v>9.89583929067003</c:v>
                </c:pt>
                <c:pt idx="8">
                  <c:v>10.50559909237978</c:v>
                </c:pt>
                <c:pt idx="9">
                  <c:v>11.0094489964966</c:v>
                </c:pt>
              </c:numCache>
            </c:numRef>
          </c:yVal>
          <c:smooth val="1"/>
        </c:ser>
        <c:axId val="677701720"/>
        <c:axId val="677704872"/>
      </c:scatterChart>
      <c:valAx>
        <c:axId val="677701720"/>
        <c:scaling>
          <c:orientation val="minMax"/>
        </c:scaling>
        <c:axPos val="b"/>
        <c:numFmt formatCode="General" sourceLinked="1"/>
        <c:tickLblPos val="nextTo"/>
        <c:crossAx val="677704872"/>
        <c:crosses val="autoZero"/>
        <c:crossBetween val="midCat"/>
      </c:valAx>
      <c:valAx>
        <c:axId val="677704872"/>
        <c:scaling>
          <c:orientation val="minMax"/>
        </c:scaling>
        <c:axPos val="l"/>
        <c:majorGridlines/>
        <c:numFmt formatCode="General" sourceLinked="1"/>
        <c:tickLblPos val="nextTo"/>
        <c:crossAx val="67770172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Traction/courant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'3508-380Kv'!$E$14:$E$24</c:f>
              <c:numCache>
                <c:formatCode>General</c:formatCode>
                <c:ptCount val="11"/>
                <c:pt idx="0">
                  <c:v>9.183942430028954</c:v>
                </c:pt>
                <c:pt idx="1">
                  <c:v>9.183942430028954</c:v>
                </c:pt>
                <c:pt idx="2">
                  <c:v>8.018709019980754</c:v>
                </c:pt>
                <c:pt idx="3">
                  <c:v>7.280805863393364</c:v>
                </c:pt>
                <c:pt idx="4">
                  <c:v>6.574854214505065</c:v>
                </c:pt>
                <c:pt idx="5">
                  <c:v>5.901583621632005</c:v>
                </c:pt>
                <c:pt idx="6">
                  <c:v>6.213902918564616</c:v>
                </c:pt>
                <c:pt idx="7">
                  <c:v>5.261751826015202</c:v>
                </c:pt>
                <c:pt idx="8">
                  <c:v>4.656146311113063</c:v>
                </c:pt>
                <c:pt idx="9">
                  <c:v>4.085585963106989</c:v>
                </c:pt>
                <c:pt idx="10">
                  <c:v>4.389285232224176</c:v>
                </c:pt>
              </c:numCache>
            </c:numRef>
          </c:xVal>
          <c:yVal>
            <c:numRef>
              <c:f>'3508-380Kv'!$K$14:$K$24</c:f>
              <c:numCache>
                <c:formatCode>General</c:formatCode>
                <c:ptCount val="11"/>
                <c:pt idx="0">
                  <c:v>1459.712104130349</c:v>
                </c:pt>
                <c:pt idx="1">
                  <c:v>1459.712104130349</c:v>
                </c:pt>
                <c:pt idx="2">
                  <c:v>1268.253714324136</c:v>
                </c:pt>
                <c:pt idx="3">
                  <c:v>1147.009550730071</c:v>
                </c:pt>
                <c:pt idx="4">
                  <c:v>1031.015308879776</c:v>
                </c:pt>
                <c:pt idx="5">
                  <c:v>920.3908601609352</c:v>
                </c:pt>
                <c:pt idx="6">
                  <c:v>971.7077458428039</c:v>
                </c:pt>
                <c:pt idx="7">
                  <c:v>815.2607083138955</c:v>
                </c:pt>
                <c:pt idx="8">
                  <c:v>715.7542439943395</c:v>
                </c:pt>
                <c:pt idx="9">
                  <c:v>622.00601760936</c:v>
                </c:pt>
                <c:pt idx="10">
                  <c:v>671.9065547456228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'3508-380Kv'!$E$36:$E$43</c:f>
              <c:numCache>
                <c:formatCode>General</c:formatCode>
                <c:ptCount val="8"/>
                <c:pt idx="0">
                  <c:v>7.557217228941199</c:v>
                </c:pt>
                <c:pt idx="1">
                  <c:v>6.854746725261027</c:v>
                </c:pt>
                <c:pt idx="2">
                  <c:v>6.198594271301848</c:v>
                </c:pt>
                <c:pt idx="3">
                  <c:v>5.61878283183227</c:v>
                </c:pt>
                <c:pt idx="4">
                  <c:v>5.231087715586837</c:v>
                </c:pt>
                <c:pt idx="5">
                  <c:v>4.855897532525573</c:v>
                </c:pt>
                <c:pt idx="6">
                  <c:v>4.493437036924878</c:v>
                </c:pt>
                <c:pt idx="7">
                  <c:v>4.143937797443058</c:v>
                </c:pt>
              </c:numCache>
            </c:numRef>
          </c:xVal>
          <c:yVal>
            <c:numRef>
              <c:f>'3508-380Kv'!$K$36:$K$43</c:f>
              <c:numCache>
                <c:formatCode>General</c:formatCode>
                <c:ptCount val="8"/>
                <c:pt idx="0">
                  <c:v>1017.117409972619</c:v>
                </c:pt>
                <c:pt idx="1">
                  <c:v>918.6643863486282</c:v>
                </c:pt>
                <c:pt idx="2">
                  <c:v>826.7029549260398</c:v>
                </c:pt>
                <c:pt idx="3">
                  <c:v>745.4409104010492</c:v>
                </c:pt>
                <c:pt idx="4">
                  <c:v>691.1044560749926</c:v>
                </c:pt>
                <c:pt idx="5">
                  <c:v>638.5205998662376</c:v>
                </c:pt>
                <c:pt idx="6">
                  <c:v>587.7208416568997</c:v>
                </c:pt>
                <c:pt idx="7">
                  <c:v>538.7376363820931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'3508-380Kv'!$E$55:$E$59</c:f>
              <c:numCache>
                <c:formatCode>General</c:formatCode>
                <c:ptCount val="5"/>
                <c:pt idx="0">
                  <c:v>6.701010544491811</c:v>
                </c:pt>
                <c:pt idx="1">
                  <c:v>6.542026946880686</c:v>
                </c:pt>
                <c:pt idx="2">
                  <c:v>6.075235856957242</c:v>
                </c:pt>
                <c:pt idx="3">
                  <c:v>4.632523409637457</c:v>
                </c:pt>
                <c:pt idx="4">
                  <c:v>4.299957805349314</c:v>
                </c:pt>
              </c:numCache>
            </c:numRef>
          </c:xVal>
          <c:yVal>
            <c:numRef>
              <c:f>'3508-380Kv'!$K$55:$K$59</c:f>
              <c:numCache>
                <c:formatCode>General</c:formatCode>
                <c:ptCount val="5"/>
                <c:pt idx="0">
                  <c:v>861.8032025636362</c:v>
                </c:pt>
                <c:pt idx="1">
                  <c:v>840.39836771389</c:v>
                </c:pt>
                <c:pt idx="2">
                  <c:v>777.5517197622788</c:v>
                </c:pt>
                <c:pt idx="3">
                  <c:v>583.311419916423</c:v>
                </c:pt>
                <c:pt idx="4">
                  <c:v>538.5362862330822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'3508-380Kv'!$E$72:$E$77</c:f>
              <c:numCache>
                <c:formatCode>General</c:formatCode>
                <c:ptCount val="6"/>
                <c:pt idx="0">
                  <c:v>9.91084091809434</c:v>
                </c:pt>
                <c:pt idx="1">
                  <c:v>8.83733450350982</c:v>
                </c:pt>
                <c:pt idx="2">
                  <c:v>7.020479874129785</c:v>
                </c:pt>
                <c:pt idx="3">
                  <c:v>5.628798050640904</c:v>
                </c:pt>
                <c:pt idx="4">
                  <c:v>4.696544231830676</c:v>
                </c:pt>
                <c:pt idx="5">
                  <c:v>4.580764692501032</c:v>
                </c:pt>
              </c:numCache>
            </c:numRef>
          </c:xVal>
          <c:yVal>
            <c:numRef>
              <c:f>'3508-380Kv'!$K$72:$K$77</c:f>
              <c:numCache>
                <c:formatCode>General</c:formatCode>
                <c:ptCount val="6"/>
                <c:pt idx="0">
                  <c:v>1208.078283199929</c:v>
                </c:pt>
                <c:pt idx="1">
                  <c:v>1073.139020612229</c:v>
                </c:pt>
                <c:pt idx="2">
                  <c:v>844.7612293043962</c:v>
                </c:pt>
                <c:pt idx="3">
                  <c:v>669.8274641522083</c:v>
                </c:pt>
                <c:pt idx="4">
                  <c:v>552.6435878886338</c:v>
                </c:pt>
                <c:pt idx="5">
                  <c:v>538.0901530440693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'3508-380Kv'!$E$89:$E$98</c:f>
              <c:numCache>
                <c:formatCode>General</c:formatCode>
                <c:ptCount val="10"/>
                <c:pt idx="0">
                  <c:v>9.188103493346668</c:v>
                </c:pt>
                <c:pt idx="1">
                  <c:v>8.315423075277248</c:v>
                </c:pt>
                <c:pt idx="2">
                  <c:v>7.617918010377787</c:v>
                </c:pt>
                <c:pt idx="3">
                  <c:v>6.947993180413942</c:v>
                </c:pt>
                <c:pt idx="4">
                  <c:v>6.306185876764239</c:v>
                </c:pt>
                <c:pt idx="5">
                  <c:v>5.573914932359864</c:v>
                </c:pt>
                <c:pt idx="6">
                  <c:v>5.10916221335983</c:v>
                </c:pt>
                <c:pt idx="7">
                  <c:v>4.555112160630422</c:v>
                </c:pt>
                <c:pt idx="8">
                  <c:v>4.03151405232229</c:v>
                </c:pt>
                <c:pt idx="9">
                  <c:v>3.659180382653556</c:v>
                </c:pt>
              </c:numCache>
            </c:numRef>
          </c:xVal>
          <c:yVal>
            <c:numRef>
              <c:f>'3508-380Kv'!$K$89:$K$98</c:f>
              <c:numCache>
                <c:formatCode>General</c:formatCode>
                <c:ptCount val="10"/>
                <c:pt idx="0">
                  <c:v>1412.345851386562</c:v>
                </c:pt>
                <c:pt idx="1">
                  <c:v>1273.67435988453</c:v>
                </c:pt>
                <c:pt idx="2">
                  <c:v>1162.83874850025</c:v>
                </c:pt>
                <c:pt idx="3">
                  <c:v>1056.385717766693</c:v>
                </c:pt>
                <c:pt idx="4">
                  <c:v>954.4006448680975</c:v>
                </c:pt>
                <c:pt idx="5">
                  <c:v>838.0406327243747</c:v>
                </c:pt>
                <c:pt idx="6">
                  <c:v>764.1900553664847</c:v>
                </c:pt>
                <c:pt idx="7">
                  <c:v>676.149868388631</c:v>
                </c:pt>
                <c:pt idx="8">
                  <c:v>592.948585165907</c:v>
                </c:pt>
                <c:pt idx="9">
                  <c:v>533.7836672414192</c:v>
                </c:pt>
              </c:numCache>
            </c:numRef>
          </c:yVal>
          <c:smooth val="1"/>
        </c:ser>
        <c:axId val="685716056"/>
        <c:axId val="685719208"/>
      </c:scatterChart>
      <c:valAx>
        <c:axId val="685716056"/>
        <c:scaling>
          <c:orientation val="minMax"/>
        </c:scaling>
        <c:axPos val="b"/>
        <c:numFmt formatCode="General" sourceLinked="1"/>
        <c:tickLblPos val="nextTo"/>
        <c:crossAx val="685719208"/>
        <c:crosses val="autoZero"/>
        <c:crossBetween val="midCat"/>
      </c:valAx>
      <c:valAx>
        <c:axId val="685719208"/>
        <c:scaling>
          <c:orientation val="minMax"/>
        </c:scaling>
        <c:axPos val="l"/>
        <c:majorGridlines/>
        <c:numFmt formatCode="General" sourceLinked="1"/>
        <c:tickLblPos val="nextTo"/>
        <c:crossAx val="6857160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d'hélice à obtenir/temps de vol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550 grs/moteur</c:v>
          </c:tx>
          <c:xVal>
            <c:numRef>
              <c:f>efficacité!$C$21:$C$26</c:f>
              <c:numCache>
                <c:formatCode>General</c:formatCode>
                <c:ptCount val="6"/>
                <c:pt idx="0">
                  <c:v>10.0</c:v>
                </c:pt>
                <c:pt idx="1">
                  <c:v>12.0</c:v>
                </c:pt>
                <c:pt idx="2">
                  <c:v>14.0</c:v>
                </c:pt>
                <c:pt idx="3">
                  <c:v>16.0</c:v>
                </c:pt>
                <c:pt idx="4">
                  <c:v>18.0</c:v>
                </c:pt>
                <c:pt idx="5">
                  <c:v>20.0</c:v>
                </c:pt>
              </c:numCache>
            </c:numRef>
          </c:xVal>
          <c:yVal>
            <c:numRef>
              <c:f>efficacité!$E$21:$E$26</c:f>
              <c:numCache>
                <c:formatCode>General</c:formatCode>
                <c:ptCount val="6"/>
                <c:pt idx="0">
                  <c:v>5.082005082005082</c:v>
                </c:pt>
                <c:pt idx="1">
                  <c:v>6.098406098406098</c:v>
                </c:pt>
                <c:pt idx="2">
                  <c:v>7.114807114807115</c:v>
                </c:pt>
                <c:pt idx="3">
                  <c:v>8.131208131208131</c:v>
                </c:pt>
                <c:pt idx="4">
                  <c:v>9.147609147609147</c:v>
                </c:pt>
                <c:pt idx="5">
                  <c:v>10.16401016401016</c:v>
                </c:pt>
              </c:numCache>
            </c:numRef>
          </c:yVal>
          <c:smooth val="1"/>
        </c:ser>
        <c:ser>
          <c:idx val="1"/>
          <c:order val="1"/>
          <c:tx>
            <c:v>850 grs/moteur</c:v>
          </c:tx>
          <c:xVal>
            <c:numRef>
              <c:f>efficacité!$C$21:$C$26</c:f>
              <c:numCache>
                <c:formatCode>General</c:formatCode>
                <c:ptCount val="6"/>
                <c:pt idx="0">
                  <c:v>10.0</c:v>
                </c:pt>
                <c:pt idx="1">
                  <c:v>12.0</c:v>
                </c:pt>
                <c:pt idx="2">
                  <c:v>14.0</c:v>
                </c:pt>
                <c:pt idx="3">
                  <c:v>16.0</c:v>
                </c:pt>
                <c:pt idx="4">
                  <c:v>18.0</c:v>
                </c:pt>
                <c:pt idx="5">
                  <c:v>20.0</c:v>
                </c:pt>
              </c:numCache>
            </c:numRef>
          </c:xVal>
          <c:yVal>
            <c:numRef>
              <c:f>efficacité!$G$21:$G$26</c:f>
              <c:numCache>
                <c:formatCode>General</c:formatCode>
                <c:ptCount val="6"/>
                <c:pt idx="0">
                  <c:v>7.854007854007855</c:v>
                </c:pt>
                <c:pt idx="1">
                  <c:v>9.424809424809425</c:v>
                </c:pt>
                <c:pt idx="2">
                  <c:v>10.995610995611</c:v>
                </c:pt>
                <c:pt idx="3">
                  <c:v>12.56641256641257</c:v>
                </c:pt>
                <c:pt idx="4">
                  <c:v>14.13721413721414</c:v>
                </c:pt>
                <c:pt idx="5">
                  <c:v>15.70801570801571</c:v>
                </c:pt>
              </c:numCache>
            </c:numRef>
          </c:yVal>
          <c:smooth val="1"/>
        </c:ser>
        <c:axId val="781091496"/>
        <c:axId val="781019368"/>
      </c:scatterChart>
      <c:valAx>
        <c:axId val="781091496"/>
        <c:scaling>
          <c:orientation val="minMax"/>
        </c:scaling>
        <c:axPos val="b"/>
        <c:numFmt formatCode="General" sourceLinked="1"/>
        <c:tickLblPos val="nextTo"/>
        <c:crossAx val="781019368"/>
        <c:crosses val="autoZero"/>
        <c:crossBetween val="midCat"/>
      </c:valAx>
      <c:valAx>
        <c:axId val="781019368"/>
        <c:scaling>
          <c:orientation val="minMax"/>
        </c:scaling>
        <c:axPos val="l"/>
        <c:majorGridlines/>
        <c:numFmt formatCode="General" sourceLinked="1"/>
        <c:tickLblPos val="nextTo"/>
        <c:crossAx val="7810914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rendement Turnigy 3508-380Kv/traction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'3508-380Kv'!$K$14:$K$24</c:f>
              <c:numCache>
                <c:formatCode>General</c:formatCode>
                <c:ptCount val="11"/>
                <c:pt idx="0">
                  <c:v>1459.712104130349</c:v>
                </c:pt>
                <c:pt idx="1">
                  <c:v>1459.712104130349</c:v>
                </c:pt>
                <c:pt idx="2">
                  <c:v>1268.253714324136</c:v>
                </c:pt>
                <c:pt idx="3">
                  <c:v>1147.009550730071</c:v>
                </c:pt>
                <c:pt idx="4">
                  <c:v>1031.015308879776</c:v>
                </c:pt>
                <c:pt idx="5">
                  <c:v>920.3908601609352</c:v>
                </c:pt>
                <c:pt idx="6">
                  <c:v>971.7077458428039</c:v>
                </c:pt>
                <c:pt idx="7">
                  <c:v>815.2607083138955</c:v>
                </c:pt>
                <c:pt idx="8">
                  <c:v>715.7542439943395</c:v>
                </c:pt>
                <c:pt idx="9">
                  <c:v>622.00601760936</c:v>
                </c:pt>
                <c:pt idx="10">
                  <c:v>671.9065547456228</c:v>
                </c:pt>
              </c:numCache>
            </c:numRef>
          </c:xVal>
          <c:yVal>
            <c:numRef>
              <c:f>'3508-380Kv'!$H$14:$H$24</c:f>
              <c:numCache>
                <c:formatCode>General</c:formatCode>
                <c:ptCount val="11"/>
                <c:pt idx="0">
                  <c:v>88.06616809348243</c:v>
                </c:pt>
                <c:pt idx="1">
                  <c:v>88.06616809348243</c:v>
                </c:pt>
                <c:pt idx="2">
                  <c:v>88.13379252841069</c:v>
                </c:pt>
                <c:pt idx="3">
                  <c:v>88.12312603216687</c:v>
                </c:pt>
                <c:pt idx="4">
                  <c:v>88.05497975813405</c:v>
                </c:pt>
                <c:pt idx="5">
                  <c:v>87.91463914289863</c:v>
                </c:pt>
                <c:pt idx="6">
                  <c:v>87.99069208967267</c:v>
                </c:pt>
                <c:pt idx="7">
                  <c:v>87.68280771929885</c:v>
                </c:pt>
                <c:pt idx="8">
                  <c:v>87.33383734140033</c:v>
                </c:pt>
                <c:pt idx="9">
                  <c:v>86.83313362984583</c:v>
                </c:pt>
                <c:pt idx="10">
                  <c:v>87.12487103880848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'3508-380Kv'!$K$36:$K$43</c:f>
              <c:numCache>
                <c:formatCode>General</c:formatCode>
                <c:ptCount val="8"/>
                <c:pt idx="0">
                  <c:v>1017.117409972619</c:v>
                </c:pt>
                <c:pt idx="1">
                  <c:v>918.6643863486282</c:v>
                </c:pt>
                <c:pt idx="2">
                  <c:v>826.7029549260398</c:v>
                </c:pt>
                <c:pt idx="3">
                  <c:v>745.4409104010492</c:v>
                </c:pt>
                <c:pt idx="4">
                  <c:v>691.1044560749926</c:v>
                </c:pt>
                <c:pt idx="5">
                  <c:v>638.5205998662376</c:v>
                </c:pt>
                <c:pt idx="6">
                  <c:v>587.7208416568997</c:v>
                </c:pt>
                <c:pt idx="7">
                  <c:v>538.7376363820931</c:v>
                </c:pt>
              </c:numCache>
            </c:numRef>
          </c:xVal>
          <c:yVal>
            <c:numRef>
              <c:f>'3508-380Kv'!$H$36:$H$43</c:f>
              <c:numCache>
                <c:formatCode>General</c:formatCode>
                <c:ptCount val="8"/>
                <c:pt idx="0">
                  <c:v>86.22323450430621</c:v>
                </c:pt>
                <c:pt idx="1">
                  <c:v>86.25954679031188</c:v>
                </c:pt>
                <c:pt idx="2">
                  <c:v>86.23644976667147</c:v>
                </c:pt>
                <c:pt idx="3">
                  <c:v>86.15071281667353</c:v>
                </c:pt>
                <c:pt idx="4">
                  <c:v>86.04657553883946</c:v>
                </c:pt>
                <c:pt idx="5">
                  <c:v>85.89864536154541</c:v>
                </c:pt>
                <c:pt idx="6">
                  <c:v>85.6991652478939</c:v>
                </c:pt>
                <c:pt idx="7">
                  <c:v>85.43872281306406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'3508-380Kv'!$K$55:$K$59</c:f>
              <c:numCache>
                <c:formatCode>General</c:formatCode>
                <c:ptCount val="5"/>
                <c:pt idx="0">
                  <c:v>861.8032025636362</c:v>
                </c:pt>
                <c:pt idx="1">
                  <c:v>840.39836771389</c:v>
                </c:pt>
                <c:pt idx="2">
                  <c:v>777.5517197622788</c:v>
                </c:pt>
                <c:pt idx="3">
                  <c:v>583.311419916423</c:v>
                </c:pt>
                <c:pt idx="4">
                  <c:v>538.5362862330822</c:v>
                </c:pt>
              </c:numCache>
            </c:numRef>
          </c:xVal>
          <c:yVal>
            <c:numRef>
              <c:f>'3508-380Kv'!$H$55:$H$59</c:f>
              <c:numCache>
                <c:formatCode>General</c:formatCode>
                <c:ptCount val="5"/>
                <c:pt idx="0">
                  <c:v>86.87304905571918</c:v>
                </c:pt>
                <c:pt idx="1">
                  <c:v>86.86354345169381</c:v>
                </c:pt>
                <c:pt idx="2">
                  <c:v>86.81158317350561</c:v>
                </c:pt>
                <c:pt idx="3">
                  <c:v>86.30317548647956</c:v>
                </c:pt>
                <c:pt idx="4">
                  <c:v>86.06673899538876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'3508-380Kv'!$K$72:$K$77</c:f>
              <c:numCache>
                <c:formatCode>General</c:formatCode>
                <c:ptCount val="6"/>
                <c:pt idx="0">
                  <c:v>1208.078283199929</c:v>
                </c:pt>
                <c:pt idx="1">
                  <c:v>1073.139020612229</c:v>
                </c:pt>
                <c:pt idx="2">
                  <c:v>844.7612293043962</c:v>
                </c:pt>
                <c:pt idx="3">
                  <c:v>669.8274641522083</c:v>
                </c:pt>
                <c:pt idx="4">
                  <c:v>552.6435878886338</c:v>
                </c:pt>
                <c:pt idx="5">
                  <c:v>538.0901530440693</c:v>
                </c:pt>
              </c:numCache>
            </c:numRef>
          </c:xVal>
          <c:yVal>
            <c:numRef>
              <c:f>'3508-380Kv'!$H$72:$H$77</c:f>
              <c:numCache>
                <c:formatCode>General</c:formatCode>
                <c:ptCount val="6"/>
                <c:pt idx="0">
                  <c:v>83.14446356618648</c:v>
                </c:pt>
                <c:pt idx="1">
                  <c:v>83.47095047752531</c:v>
                </c:pt>
                <c:pt idx="2">
                  <c:v>83.90536325461998</c:v>
                </c:pt>
                <c:pt idx="3">
                  <c:v>84.0126692502022</c:v>
                </c:pt>
                <c:pt idx="4">
                  <c:v>83.84222631868484</c:v>
                </c:pt>
                <c:pt idx="5">
                  <c:v>83.7986435735581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'3508-380Kv'!$K$89:$K$98</c:f>
              <c:numCache>
                <c:formatCode>General</c:formatCode>
                <c:ptCount val="10"/>
                <c:pt idx="0">
                  <c:v>1412.345851386562</c:v>
                </c:pt>
                <c:pt idx="1">
                  <c:v>1273.67435988453</c:v>
                </c:pt>
                <c:pt idx="2">
                  <c:v>1162.83874850025</c:v>
                </c:pt>
                <c:pt idx="3">
                  <c:v>1056.385717766693</c:v>
                </c:pt>
                <c:pt idx="4">
                  <c:v>954.4006448680975</c:v>
                </c:pt>
                <c:pt idx="5">
                  <c:v>838.0406327243747</c:v>
                </c:pt>
                <c:pt idx="6">
                  <c:v>764.1900553664847</c:v>
                </c:pt>
                <c:pt idx="7">
                  <c:v>676.149868388631</c:v>
                </c:pt>
                <c:pt idx="8">
                  <c:v>592.948585165907</c:v>
                </c:pt>
                <c:pt idx="9">
                  <c:v>533.7836672414192</c:v>
                </c:pt>
              </c:numCache>
            </c:numRef>
          </c:xVal>
          <c:yVal>
            <c:numRef>
              <c:f>'3508-380Kv'!$H$89:$H$98</c:f>
              <c:numCache>
                <c:formatCode>General</c:formatCode>
                <c:ptCount val="10"/>
                <c:pt idx="0">
                  <c:v>88.72760790504963</c:v>
                </c:pt>
                <c:pt idx="1">
                  <c:v>88.75850984143671</c:v>
                </c:pt>
                <c:pt idx="2">
                  <c:v>88.74399812482721</c:v>
                </c:pt>
                <c:pt idx="3">
                  <c:v>88.68431891179553</c:v>
                </c:pt>
                <c:pt idx="4">
                  <c:v>88.56922643239448</c:v>
                </c:pt>
                <c:pt idx="5">
                  <c:v>88.33931637773586</c:v>
                </c:pt>
                <c:pt idx="6">
                  <c:v>88.11674306126712</c:v>
                </c:pt>
                <c:pt idx="7">
                  <c:v>87.74051024554425</c:v>
                </c:pt>
                <c:pt idx="8">
                  <c:v>87.22789259441303</c:v>
                </c:pt>
                <c:pt idx="9">
                  <c:v>86.7309817554965</c:v>
                </c:pt>
              </c:numCache>
            </c:numRef>
          </c:yVal>
          <c:smooth val="1"/>
        </c:ser>
        <c:axId val="685576968"/>
        <c:axId val="685580120"/>
      </c:scatterChart>
      <c:valAx>
        <c:axId val="685576968"/>
        <c:scaling>
          <c:orientation val="minMax"/>
        </c:scaling>
        <c:axPos val="b"/>
        <c:numFmt formatCode="General" sourceLinked="1"/>
        <c:tickLblPos val="nextTo"/>
        <c:crossAx val="685580120"/>
        <c:crosses val="autoZero"/>
        <c:crossBetween val="midCat"/>
      </c:valAx>
      <c:valAx>
        <c:axId val="685580120"/>
        <c:scaling>
          <c:orientation val="minMax"/>
        </c:scaling>
        <c:axPos val="l"/>
        <c:majorGridlines/>
        <c:numFmt formatCode="General" sourceLinked="1"/>
        <c:tickLblPos val="nextTo"/>
        <c:crossAx val="6855769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temps de vol à 65% des 5Ah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'3508-380Kv'!$K$14:$K$24</c:f>
              <c:numCache>
                <c:formatCode>General</c:formatCode>
                <c:ptCount val="11"/>
                <c:pt idx="0">
                  <c:v>1459.712104130349</c:v>
                </c:pt>
                <c:pt idx="1">
                  <c:v>1459.712104130349</c:v>
                </c:pt>
                <c:pt idx="2">
                  <c:v>1268.253714324136</c:v>
                </c:pt>
                <c:pt idx="3">
                  <c:v>1147.009550730071</c:v>
                </c:pt>
                <c:pt idx="4">
                  <c:v>1031.015308879776</c:v>
                </c:pt>
                <c:pt idx="5">
                  <c:v>920.3908601609352</c:v>
                </c:pt>
                <c:pt idx="6">
                  <c:v>971.7077458428039</c:v>
                </c:pt>
                <c:pt idx="7">
                  <c:v>815.2607083138955</c:v>
                </c:pt>
                <c:pt idx="8">
                  <c:v>715.7542439943395</c:v>
                </c:pt>
                <c:pt idx="9">
                  <c:v>622.00601760936</c:v>
                </c:pt>
                <c:pt idx="10">
                  <c:v>671.9065547456228</c:v>
                </c:pt>
              </c:numCache>
            </c:numRef>
          </c:xVal>
          <c:yVal>
            <c:numRef>
              <c:f>'3508-380Kv'!$O$14:$O$24</c:f>
              <c:numCache>
                <c:formatCode>General</c:formatCode>
                <c:ptCount val="11"/>
                <c:pt idx="0">
                  <c:v>8.49308459784782</c:v>
                </c:pt>
                <c:pt idx="1">
                  <c:v>8.49308459784782</c:v>
                </c:pt>
                <c:pt idx="2">
                  <c:v>9.727251581974377</c:v>
                </c:pt>
                <c:pt idx="3">
                  <c:v>10.71309982211867</c:v>
                </c:pt>
                <c:pt idx="4">
                  <c:v>11.86338091389477</c:v>
                </c:pt>
                <c:pt idx="5">
                  <c:v>13.21679145815952</c:v>
                </c:pt>
                <c:pt idx="6">
                  <c:v>12.55249736312547</c:v>
                </c:pt>
                <c:pt idx="7">
                  <c:v>14.82396026630364</c:v>
                </c:pt>
                <c:pt idx="8">
                  <c:v>16.75205089965352</c:v>
                </c:pt>
                <c:pt idx="9">
                  <c:v>19.09150870997288</c:v>
                </c:pt>
                <c:pt idx="10">
                  <c:v>17.77054711034925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'3508-380Kv'!$K$36:$K$43</c:f>
              <c:numCache>
                <c:formatCode>General</c:formatCode>
                <c:ptCount val="8"/>
                <c:pt idx="0">
                  <c:v>1017.117409972619</c:v>
                </c:pt>
                <c:pt idx="1">
                  <c:v>918.6643863486282</c:v>
                </c:pt>
                <c:pt idx="2">
                  <c:v>826.7029549260398</c:v>
                </c:pt>
                <c:pt idx="3">
                  <c:v>745.4409104010492</c:v>
                </c:pt>
                <c:pt idx="4">
                  <c:v>691.1044560749926</c:v>
                </c:pt>
                <c:pt idx="5">
                  <c:v>638.5205998662376</c:v>
                </c:pt>
                <c:pt idx="6">
                  <c:v>587.7208416568997</c:v>
                </c:pt>
                <c:pt idx="7">
                  <c:v>538.7376363820931</c:v>
                </c:pt>
              </c:numCache>
            </c:numRef>
          </c:xVal>
          <c:yVal>
            <c:numRef>
              <c:f>'3508-380Kv'!$O$36:$O$43</c:f>
              <c:numCache>
                <c:formatCode>General</c:formatCode>
                <c:ptCount val="8"/>
                <c:pt idx="0">
                  <c:v>10.32125948441582</c:v>
                </c:pt>
                <c:pt idx="1">
                  <c:v>11.37897622279104</c:v>
                </c:pt>
                <c:pt idx="2">
                  <c:v>12.58349822331866</c:v>
                </c:pt>
                <c:pt idx="3">
                  <c:v>13.88201009622655</c:v>
                </c:pt>
                <c:pt idx="4">
                  <c:v>14.91085683147444</c:v>
                </c:pt>
                <c:pt idx="5">
                  <c:v>16.06294191290974</c:v>
                </c:pt>
                <c:pt idx="6">
                  <c:v>17.35864981728551</c:v>
                </c:pt>
                <c:pt idx="7">
                  <c:v>18.82267635583924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'3508-380Kv'!$K$55:$K$59</c:f>
              <c:numCache>
                <c:formatCode>General</c:formatCode>
                <c:ptCount val="5"/>
                <c:pt idx="0">
                  <c:v>861.8032025636362</c:v>
                </c:pt>
                <c:pt idx="1">
                  <c:v>840.39836771389</c:v>
                </c:pt>
                <c:pt idx="2">
                  <c:v>777.5517197622788</c:v>
                </c:pt>
                <c:pt idx="3">
                  <c:v>583.311419916423</c:v>
                </c:pt>
                <c:pt idx="4">
                  <c:v>538.5362862330822</c:v>
                </c:pt>
              </c:numCache>
            </c:numRef>
          </c:xVal>
          <c:yVal>
            <c:numRef>
              <c:f>'3508-380Kv'!$O$55:$O$59</c:f>
              <c:numCache>
                <c:formatCode>General</c:formatCode>
                <c:ptCount val="5"/>
                <c:pt idx="0">
                  <c:v>11.64003540691568</c:v>
                </c:pt>
                <c:pt idx="1">
                  <c:v>11.9229102284868</c:v>
                </c:pt>
                <c:pt idx="2">
                  <c:v>12.83900770875849</c:v>
                </c:pt>
                <c:pt idx="3">
                  <c:v>16.83747562672421</c:v>
                </c:pt>
                <c:pt idx="4">
                  <c:v>18.13971288345317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'3508-380Kv'!$K$72:$K$77</c:f>
              <c:numCache>
                <c:formatCode>General</c:formatCode>
                <c:ptCount val="6"/>
                <c:pt idx="0">
                  <c:v>1208.078283199929</c:v>
                </c:pt>
                <c:pt idx="1">
                  <c:v>1073.139020612229</c:v>
                </c:pt>
                <c:pt idx="2">
                  <c:v>844.7612293043962</c:v>
                </c:pt>
                <c:pt idx="3">
                  <c:v>669.8274641522083</c:v>
                </c:pt>
                <c:pt idx="4">
                  <c:v>552.6435878886338</c:v>
                </c:pt>
                <c:pt idx="5">
                  <c:v>538.0901530440693</c:v>
                </c:pt>
              </c:numCache>
            </c:numRef>
          </c:xVal>
          <c:yVal>
            <c:numRef>
              <c:f>'3508-380Kv'!$O$72:$O$77</c:f>
              <c:numCache>
                <c:formatCode>General</c:formatCode>
                <c:ptCount val="6"/>
                <c:pt idx="0">
                  <c:v>7.870169710583737</c:v>
                </c:pt>
                <c:pt idx="1">
                  <c:v>8.826190744394891</c:v>
                </c:pt>
                <c:pt idx="2">
                  <c:v>11.11035162815966</c:v>
                </c:pt>
                <c:pt idx="3">
                  <c:v>13.85731008614153</c:v>
                </c:pt>
                <c:pt idx="4">
                  <c:v>16.60795600973105</c:v>
                </c:pt>
                <c:pt idx="5">
                  <c:v>17.02772467830324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'3508-380Kv'!$K$89:$K$98</c:f>
              <c:numCache>
                <c:formatCode>General</c:formatCode>
                <c:ptCount val="10"/>
                <c:pt idx="0">
                  <c:v>1412.345851386562</c:v>
                </c:pt>
                <c:pt idx="1">
                  <c:v>1273.67435988453</c:v>
                </c:pt>
                <c:pt idx="2">
                  <c:v>1162.83874850025</c:v>
                </c:pt>
                <c:pt idx="3">
                  <c:v>1056.385717766693</c:v>
                </c:pt>
                <c:pt idx="4">
                  <c:v>954.4006448680975</c:v>
                </c:pt>
                <c:pt idx="5">
                  <c:v>838.0406327243747</c:v>
                </c:pt>
                <c:pt idx="6">
                  <c:v>764.1900553664847</c:v>
                </c:pt>
                <c:pt idx="7">
                  <c:v>676.149868388631</c:v>
                </c:pt>
                <c:pt idx="8">
                  <c:v>592.948585165907</c:v>
                </c:pt>
                <c:pt idx="9">
                  <c:v>533.7836672414192</c:v>
                </c:pt>
              </c:numCache>
            </c:numRef>
          </c:xVal>
          <c:yVal>
            <c:numRef>
              <c:f>'3508-380Kv'!$O$89:$O$98</c:f>
              <c:numCache>
                <c:formatCode>General</c:formatCode>
                <c:ptCount val="10"/>
                <c:pt idx="0">
                  <c:v>8.489238291284127</c:v>
                </c:pt>
                <c:pt idx="1">
                  <c:v>9.380160130625627</c:v>
                </c:pt>
                <c:pt idx="2">
                  <c:v>10.239018048467</c:v>
                </c:pt>
                <c:pt idx="3">
                  <c:v>11.2262631776724</c:v>
                </c:pt>
                <c:pt idx="4">
                  <c:v>12.36880763178876</c:v>
                </c:pt>
                <c:pt idx="5">
                  <c:v>13.9937550082015</c:v>
                </c:pt>
                <c:pt idx="6">
                  <c:v>15.266690847286</c:v>
                </c:pt>
                <c:pt idx="7">
                  <c:v>17.12361787139944</c:v>
                </c:pt>
                <c:pt idx="8">
                  <c:v>19.34756991732903</c:v>
                </c:pt>
                <c:pt idx="9">
                  <c:v>21.31624895284232</c:v>
                </c:pt>
              </c:numCache>
            </c:numRef>
          </c:yVal>
          <c:smooth val="1"/>
        </c:ser>
        <c:axId val="685620024"/>
        <c:axId val="685623176"/>
      </c:scatterChart>
      <c:valAx>
        <c:axId val="685620024"/>
        <c:scaling>
          <c:orientation val="minMax"/>
        </c:scaling>
        <c:axPos val="b"/>
        <c:numFmt formatCode="General" sourceLinked="1"/>
        <c:tickLblPos val="nextTo"/>
        <c:crossAx val="685623176"/>
        <c:crosses val="autoZero"/>
        <c:crossBetween val="midCat"/>
      </c:valAx>
      <c:valAx>
        <c:axId val="685623176"/>
        <c:scaling>
          <c:orientation val="minMax"/>
        </c:scaling>
        <c:axPos val="l"/>
        <c:majorGridlines/>
        <c:numFmt formatCode="General" sourceLinked="1"/>
        <c:tickLblPos val="nextTo"/>
        <c:crossAx val="6856200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globale (grs/W)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'4225-390Kv'!$F$14:$F$24</c:f>
              <c:numCache>
                <c:formatCode>General</c:formatCode>
                <c:ptCount val="11"/>
                <c:pt idx="0">
                  <c:v>216.6281583939486</c:v>
                </c:pt>
                <c:pt idx="1">
                  <c:v>210.2442336882467</c:v>
                </c:pt>
                <c:pt idx="2">
                  <c:v>179.6015911217681</c:v>
                </c:pt>
                <c:pt idx="3">
                  <c:v>155.7763880716709</c:v>
                </c:pt>
                <c:pt idx="4">
                  <c:v>134.053299061785</c:v>
                </c:pt>
                <c:pt idx="5">
                  <c:v>114.3561888029671</c:v>
                </c:pt>
                <c:pt idx="6">
                  <c:v>105.2428638055422</c:v>
                </c:pt>
                <c:pt idx="7">
                  <c:v>99.83266981291965</c:v>
                </c:pt>
                <c:pt idx="8">
                  <c:v>66.6187729950998</c:v>
                </c:pt>
                <c:pt idx="9">
                  <c:v>60.20780728735541</c:v>
                </c:pt>
                <c:pt idx="10">
                  <c:v>56.79842044591496</c:v>
                </c:pt>
              </c:numCache>
            </c:numRef>
          </c:xVal>
          <c:yVal>
            <c:numRef>
              <c:f>'4225-390Kv'!$L$14:$L$24</c:f>
              <c:numCache>
                <c:formatCode>General</c:formatCode>
                <c:ptCount val="11"/>
                <c:pt idx="0">
                  <c:v>7.333314000066621</c:v>
                </c:pt>
                <c:pt idx="1">
                  <c:v>7.410104057710511</c:v>
                </c:pt>
                <c:pt idx="2">
                  <c:v>7.826520633138233</c:v>
                </c:pt>
                <c:pt idx="3">
                  <c:v>8.220559010662016</c:v>
                </c:pt>
                <c:pt idx="4">
                  <c:v>8.655367616924916</c:v>
                </c:pt>
                <c:pt idx="5">
                  <c:v>9.137416047681243</c:v>
                </c:pt>
                <c:pt idx="6">
                  <c:v>9.398546435499735</c:v>
                </c:pt>
                <c:pt idx="7">
                  <c:v>9.56784412297155</c:v>
                </c:pt>
                <c:pt idx="8">
                  <c:v>10.95479483038924</c:v>
                </c:pt>
                <c:pt idx="9">
                  <c:v>11.32715106747138</c:v>
                </c:pt>
                <c:pt idx="10">
                  <c:v>11.54640169453466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'4225-390Kv'!$F$35:$F$42</c:f>
              <c:numCache>
                <c:formatCode>General</c:formatCode>
                <c:ptCount val="8"/>
                <c:pt idx="0">
                  <c:v>179.3710589905449</c:v>
                </c:pt>
                <c:pt idx="1">
                  <c:v>165.7278183378777</c:v>
                </c:pt>
                <c:pt idx="2">
                  <c:v>140.4190099236135</c:v>
                </c:pt>
                <c:pt idx="3">
                  <c:v>117.6672272190009</c:v>
                </c:pt>
                <c:pt idx="4">
                  <c:v>92.67059624968964</c:v>
                </c:pt>
                <c:pt idx="5">
                  <c:v>79.42997530824871</c:v>
                </c:pt>
                <c:pt idx="6">
                  <c:v>63.72917405837721</c:v>
                </c:pt>
                <c:pt idx="7">
                  <c:v>49.90319967671692</c:v>
                </c:pt>
              </c:numCache>
            </c:numRef>
          </c:xVal>
          <c:yVal>
            <c:numRef>
              <c:f>'4225-390Kv'!$L$35:$L$42</c:f>
              <c:numCache>
                <c:formatCode>General</c:formatCode>
                <c:ptCount val="8"/>
                <c:pt idx="0">
                  <c:v>7.651100605896994</c:v>
                </c:pt>
                <c:pt idx="1">
                  <c:v>7.868076466881456</c:v>
                </c:pt>
                <c:pt idx="2">
                  <c:v>8.340428181799227</c:v>
                </c:pt>
                <c:pt idx="3">
                  <c:v>8.871815204519158</c:v>
                </c:pt>
                <c:pt idx="4">
                  <c:v>9.636836202524905</c:v>
                </c:pt>
                <c:pt idx="5">
                  <c:v>10.1606822150148</c:v>
                </c:pt>
                <c:pt idx="6">
                  <c:v>10.95134686587875</c:v>
                </c:pt>
                <c:pt idx="7">
                  <c:v>11.88976161561435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'4225-390Kv'!$F$54:$F$61</c:f>
              <c:numCache>
                <c:formatCode>General</c:formatCode>
                <c:ptCount val="8"/>
                <c:pt idx="0">
                  <c:v>192.0156942477104</c:v>
                </c:pt>
                <c:pt idx="1">
                  <c:v>172.9406425439008</c:v>
                </c:pt>
                <c:pt idx="2">
                  <c:v>147.8131192689478</c:v>
                </c:pt>
                <c:pt idx="3">
                  <c:v>125.1034429282151</c:v>
                </c:pt>
                <c:pt idx="4">
                  <c:v>97.19665422014432</c:v>
                </c:pt>
                <c:pt idx="5">
                  <c:v>79.908140681818</c:v>
                </c:pt>
                <c:pt idx="6">
                  <c:v>70.5445057983171</c:v>
                </c:pt>
                <c:pt idx="7">
                  <c:v>50.27453473926854</c:v>
                </c:pt>
              </c:numCache>
            </c:numRef>
          </c:xVal>
          <c:yVal>
            <c:numRef>
              <c:f>'4225-390Kv'!$L$54:$L$61</c:f>
              <c:numCache>
                <c:formatCode>General</c:formatCode>
                <c:ptCount val="8"/>
                <c:pt idx="0">
                  <c:v>6.878511614222962</c:v>
                </c:pt>
                <c:pt idx="1">
                  <c:v>7.136252047404346</c:v>
                </c:pt>
                <c:pt idx="2">
                  <c:v>7.539165828922136</c:v>
                </c:pt>
                <c:pt idx="3">
                  <c:v>7.989236503038744</c:v>
                </c:pt>
                <c:pt idx="4">
                  <c:v>8.715223736213545</c:v>
                </c:pt>
                <c:pt idx="5">
                  <c:v>9.317495601865123</c:v>
                </c:pt>
                <c:pt idx="6">
                  <c:v>9.719106634303567</c:v>
                </c:pt>
                <c:pt idx="7">
                  <c:v>10.88537566889433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'4225-390Kv'!$F$72:$F$77</c:f>
              <c:numCache>
                <c:formatCode>General</c:formatCode>
                <c:ptCount val="6"/>
                <c:pt idx="0">
                  <c:v>148.6412342969419</c:v>
                </c:pt>
                <c:pt idx="1">
                  <c:v>92.74495450736887</c:v>
                </c:pt>
                <c:pt idx="2">
                  <c:v>82.67300637322589</c:v>
                </c:pt>
                <c:pt idx="3">
                  <c:v>73.30688176249667</c:v>
                </c:pt>
                <c:pt idx="4">
                  <c:v>56.6198351811166</c:v>
                </c:pt>
                <c:pt idx="5">
                  <c:v>41.26032017352992</c:v>
                </c:pt>
              </c:numCache>
            </c:numRef>
          </c:xVal>
          <c:yVal>
            <c:numRef>
              <c:f>'4225-390Kv'!$L$72:$L$77</c:f>
              <c:numCache>
                <c:formatCode>General</c:formatCode>
                <c:ptCount val="6"/>
                <c:pt idx="0">
                  <c:v>8.399993708492191</c:v>
                </c:pt>
                <c:pt idx="1">
                  <c:v>9.942258329536525</c:v>
                </c:pt>
                <c:pt idx="2">
                  <c:v>10.35383692689848</c:v>
                </c:pt>
                <c:pt idx="3">
                  <c:v>10.800077717683</c:v>
                </c:pt>
                <c:pt idx="4">
                  <c:v>11.81502004376129</c:v>
                </c:pt>
                <c:pt idx="5">
                  <c:v>13.16772487644275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'4225-390Kv'!$F$88:$F$98</c:f>
              <c:numCache>
                <c:formatCode>General</c:formatCode>
                <c:ptCount val="11"/>
                <c:pt idx="0">
                  <c:v>233.4354558241337</c:v>
                </c:pt>
                <c:pt idx="1">
                  <c:v>203.8005509557353</c:v>
                </c:pt>
                <c:pt idx="2">
                  <c:v>179.0291885085978</c:v>
                </c:pt>
                <c:pt idx="3">
                  <c:v>156.2569475826707</c:v>
                </c:pt>
                <c:pt idx="4">
                  <c:v>135.4170091136013</c:v>
                </c:pt>
                <c:pt idx="5">
                  <c:v>116.440559096122</c:v>
                </c:pt>
                <c:pt idx="6">
                  <c:v>96.02863587647475</c:v>
                </c:pt>
                <c:pt idx="7">
                  <c:v>83.79230898260484</c:v>
                </c:pt>
                <c:pt idx="8">
                  <c:v>69.97200607743147</c:v>
                </c:pt>
                <c:pt idx="9">
                  <c:v>57.71795887629214</c:v>
                </c:pt>
                <c:pt idx="10">
                  <c:v>50.0291152866488</c:v>
                </c:pt>
              </c:numCache>
            </c:numRef>
          </c:xVal>
          <c:yVal>
            <c:numRef>
              <c:f>'4225-390Kv'!$L$88:$L$98</c:f>
              <c:numCache>
                <c:formatCode>General</c:formatCode>
                <c:ptCount val="11"/>
                <c:pt idx="0">
                  <c:v>6.569880971726153</c:v>
                </c:pt>
                <c:pt idx="1">
                  <c:v>6.885718510089659</c:v>
                </c:pt>
                <c:pt idx="2">
                  <c:v>7.199821827220556</c:v>
                </c:pt>
                <c:pt idx="3">
                  <c:v>7.543254008450815</c:v>
                </c:pt>
                <c:pt idx="4">
                  <c:v>7.920199925368408</c:v>
                </c:pt>
                <c:pt idx="5">
                  <c:v>8.33564839494309</c:v>
                </c:pt>
                <c:pt idx="6">
                  <c:v>8.893519753521418</c:v>
                </c:pt>
                <c:pt idx="7">
                  <c:v>9.30722907511132</c:v>
                </c:pt>
                <c:pt idx="8">
                  <c:v>9.879356764370788</c:v>
                </c:pt>
                <c:pt idx="9">
                  <c:v>10.52267925463353</c:v>
                </c:pt>
                <c:pt idx="10">
                  <c:v>11.02228801072917</c:v>
                </c:pt>
              </c:numCache>
            </c:numRef>
          </c:yVal>
          <c:smooth val="1"/>
        </c:ser>
        <c:axId val="780455928"/>
        <c:axId val="677817096"/>
      </c:scatterChart>
      <c:valAx>
        <c:axId val="780455928"/>
        <c:scaling>
          <c:orientation val="minMax"/>
        </c:scaling>
        <c:axPos val="b"/>
        <c:numFmt formatCode="General" sourceLinked="1"/>
        <c:tickLblPos val="nextTo"/>
        <c:crossAx val="677817096"/>
        <c:crosses val="autoZero"/>
        <c:crossBetween val="midCat"/>
      </c:valAx>
      <c:valAx>
        <c:axId val="677817096"/>
        <c:scaling>
          <c:orientation val="minMax"/>
        </c:scaling>
        <c:axPos val="l"/>
        <c:majorGridlines/>
        <c:numFmt formatCode="General" sourceLinked="1"/>
        <c:tickLblPos val="nextTo"/>
        <c:crossAx val="78045592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mécanique (grs/W)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'4225-390Kv'!$G$14:$G$24</c:f>
              <c:numCache>
                <c:formatCode>General</c:formatCode>
                <c:ptCount val="11"/>
                <c:pt idx="0">
                  <c:v>188.2409400388638</c:v>
                </c:pt>
                <c:pt idx="1">
                  <c:v>182.8158726085437</c:v>
                </c:pt>
                <c:pt idx="2">
                  <c:v>156.6785960203779</c:v>
                </c:pt>
                <c:pt idx="3">
                  <c:v>136.2372194471943</c:v>
                </c:pt>
                <c:pt idx="4">
                  <c:v>117.4994508301361</c:v>
                </c:pt>
                <c:pt idx="5">
                  <c:v>100.4190038543639</c:v>
                </c:pt>
                <c:pt idx="6">
                  <c:v>92.48500469243264</c:v>
                </c:pt>
                <c:pt idx="7">
                  <c:v>87.76502178096323</c:v>
                </c:pt>
                <c:pt idx="8">
                  <c:v>58.61281991225936</c:v>
                </c:pt>
                <c:pt idx="9">
                  <c:v>52.94824320021075</c:v>
                </c:pt>
                <c:pt idx="10">
                  <c:v>49.93047303918661</c:v>
                </c:pt>
              </c:numCache>
            </c:numRef>
          </c:xVal>
          <c:yVal>
            <c:numRef>
              <c:f>'4225-390Kv'!$L$14:$L$24</c:f>
              <c:numCache>
                <c:formatCode>General</c:formatCode>
                <c:ptCount val="11"/>
                <c:pt idx="0">
                  <c:v>7.333314000066621</c:v>
                </c:pt>
                <c:pt idx="1">
                  <c:v>7.410104057710511</c:v>
                </c:pt>
                <c:pt idx="2">
                  <c:v>7.826520633138233</c:v>
                </c:pt>
                <c:pt idx="3">
                  <c:v>8.220559010662016</c:v>
                </c:pt>
                <c:pt idx="4">
                  <c:v>8.655367616924916</c:v>
                </c:pt>
                <c:pt idx="5">
                  <c:v>9.137416047681243</c:v>
                </c:pt>
                <c:pt idx="6">
                  <c:v>9.398546435499735</c:v>
                </c:pt>
                <c:pt idx="7">
                  <c:v>9.56784412297155</c:v>
                </c:pt>
                <c:pt idx="8">
                  <c:v>10.95479483038924</c:v>
                </c:pt>
                <c:pt idx="9">
                  <c:v>11.32715106747138</c:v>
                </c:pt>
                <c:pt idx="10">
                  <c:v>11.54640169453466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'4225-390Kv'!$G$35:$G$42</c:f>
              <c:numCache>
                <c:formatCode>General</c:formatCode>
                <c:ptCount val="8"/>
                <c:pt idx="0">
                  <c:v>151.1491561554055</c:v>
                </c:pt>
                <c:pt idx="1">
                  <c:v>139.9868617798012</c:v>
                </c:pt>
                <c:pt idx="2">
                  <c:v>119.155112252202</c:v>
                </c:pt>
                <c:pt idx="3">
                  <c:v>100.2751475605999</c:v>
                </c:pt>
                <c:pt idx="4">
                  <c:v>79.34251299838003</c:v>
                </c:pt>
                <c:pt idx="5">
                  <c:v>68.1635567875374</c:v>
                </c:pt>
                <c:pt idx="6">
                  <c:v>54.81507804433915</c:v>
                </c:pt>
                <c:pt idx="7">
                  <c:v>42.96784862316857</c:v>
                </c:pt>
              </c:numCache>
            </c:numRef>
          </c:xVal>
          <c:yVal>
            <c:numRef>
              <c:f>'4225-390Kv'!$L$35:$L$42</c:f>
              <c:numCache>
                <c:formatCode>General</c:formatCode>
                <c:ptCount val="8"/>
                <c:pt idx="0">
                  <c:v>7.651100605896994</c:v>
                </c:pt>
                <c:pt idx="1">
                  <c:v>7.868076466881456</c:v>
                </c:pt>
                <c:pt idx="2">
                  <c:v>8.340428181799227</c:v>
                </c:pt>
                <c:pt idx="3">
                  <c:v>8.871815204519158</c:v>
                </c:pt>
                <c:pt idx="4">
                  <c:v>9.636836202524905</c:v>
                </c:pt>
                <c:pt idx="5">
                  <c:v>10.1606822150148</c:v>
                </c:pt>
                <c:pt idx="6">
                  <c:v>10.95134686587875</c:v>
                </c:pt>
                <c:pt idx="7">
                  <c:v>11.88976161561435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'4225-390Kv'!$G$54:$G$61</c:f>
              <c:numCache>
                <c:formatCode>General</c:formatCode>
                <c:ptCount val="8"/>
                <c:pt idx="0">
                  <c:v>163.4638518906899</c:v>
                </c:pt>
                <c:pt idx="1">
                  <c:v>147.6473984473532</c:v>
                </c:pt>
                <c:pt idx="2">
                  <c:v>126.6862096862474</c:v>
                </c:pt>
                <c:pt idx="3">
                  <c:v>107.6060612890374</c:v>
                </c:pt>
                <c:pt idx="4">
                  <c:v>83.9594742299764</c:v>
                </c:pt>
                <c:pt idx="5">
                  <c:v>69.18473133332664</c:v>
                </c:pt>
                <c:pt idx="6">
                  <c:v>61.13772011795757</c:v>
                </c:pt>
                <c:pt idx="7">
                  <c:v>43.59755644661142</c:v>
                </c:pt>
              </c:numCache>
            </c:numRef>
          </c:xVal>
          <c:yVal>
            <c:numRef>
              <c:f>'4225-390Kv'!$L$54:$L$61</c:f>
              <c:numCache>
                <c:formatCode>General</c:formatCode>
                <c:ptCount val="8"/>
                <c:pt idx="0">
                  <c:v>6.878511614222962</c:v>
                </c:pt>
                <c:pt idx="1">
                  <c:v>7.136252047404346</c:v>
                </c:pt>
                <c:pt idx="2">
                  <c:v>7.539165828922136</c:v>
                </c:pt>
                <c:pt idx="3">
                  <c:v>7.989236503038744</c:v>
                </c:pt>
                <c:pt idx="4">
                  <c:v>8.715223736213545</c:v>
                </c:pt>
                <c:pt idx="5">
                  <c:v>9.317495601865123</c:v>
                </c:pt>
                <c:pt idx="6">
                  <c:v>9.719106634303567</c:v>
                </c:pt>
                <c:pt idx="7">
                  <c:v>10.88537566889433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'4225-390Kv'!$G$72:$G$77</c:f>
              <c:numCache>
                <c:formatCode>General</c:formatCode>
                <c:ptCount val="6"/>
                <c:pt idx="0">
                  <c:v>120.3492590180775</c:v>
                </c:pt>
                <c:pt idx="1">
                  <c:v>76.37989001444181</c:v>
                </c:pt>
                <c:pt idx="2">
                  <c:v>68.31461139136602</c:v>
                </c:pt>
                <c:pt idx="3">
                  <c:v>60.76779328541268</c:v>
                </c:pt>
                <c:pt idx="4">
                  <c:v>47.19767662373761</c:v>
                </c:pt>
                <c:pt idx="5">
                  <c:v>34.54466866211475</c:v>
                </c:pt>
              </c:numCache>
            </c:numRef>
          </c:xVal>
          <c:yVal>
            <c:numRef>
              <c:f>'4225-390Kv'!$L$72:$L$77</c:f>
              <c:numCache>
                <c:formatCode>General</c:formatCode>
                <c:ptCount val="6"/>
                <c:pt idx="0">
                  <c:v>8.399993708492191</c:v>
                </c:pt>
                <c:pt idx="1">
                  <c:v>9.942258329536525</c:v>
                </c:pt>
                <c:pt idx="2">
                  <c:v>10.35383692689848</c:v>
                </c:pt>
                <c:pt idx="3">
                  <c:v>10.800077717683</c:v>
                </c:pt>
                <c:pt idx="4">
                  <c:v>11.81502004376129</c:v>
                </c:pt>
                <c:pt idx="5">
                  <c:v>13.16772487644275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'4225-390Kv'!$G$88:$G$98</c:f>
              <c:numCache>
                <c:formatCode>General</c:formatCode>
                <c:ptCount val="11"/>
                <c:pt idx="0">
                  <c:v>204.7917800025051</c:v>
                </c:pt>
                <c:pt idx="1">
                  <c:v>179.2495052636745</c:v>
                </c:pt>
                <c:pt idx="2">
                  <c:v>157.795431911966</c:v>
                </c:pt>
                <c:pt idx="3">
                  <c:v>137.9822240561571</c:v>
                </c:pt>
                <c:pt idx="4">
                  <c:v>119.7678024281887</c:v>
                </c:pt>
                <c:pt idx="5">
                  <c:v>103.1078051776987</c:v>
                </c:pt>
                <c:pt idx="6">
                  <c:v>85.10159277124378</c:v>
                </c:pt>
                <c:pt idx="7">
                  <c:v>74.2613568052061</c:v>
                </c:pt>
                <c:pt idx="8">
                  <c:v>61.97342942007914</c:v>
                </c:pt>
                <c:pt idx="9">
                  <c:v>51.03662929426145</c:v>
                </c:pt>
                <c:pt idx="10">
                  <c:v>44.15378155874696</c:v>
                </c:pt>
              </c:numCache>
            </c:numRef>
          </c:xVal>
          <c:yVal>
            <c:numRef>
              <c:f>'4225-390Kv'!$L$88:$L$98</c:f>
              <c:numCache>
                <c:formatCode>General</c:formatCode>
                <c:ptCount val="11"/>
                <c:pt idx="0">
                  <c:v>6.569880971726153</c:v>
                </c:pt>
                <c:pt idx="1">
                  <c:v>6.885718510089659</c:v>
                </c:pt>
                <c:pt idx="2">
                  <c:v>7.199821827220556</c:v>
                </c:pt>
                <c:pt idx="3">
                  <c:v>7.543254008450815</c:v>
                </c:pt>
                <c:pt idx="4">
                  <c:v>7.920199925368408</c:v>
                </c:pt>
                <c:pt idx="5">
                  <c:v>8.33564839494309</c:v>
                </c:pt>
                <c:pt idx="6">
                  <c:v>8.893519753521418</c:v>
                </c:pt>
                <c:pt idx="7">
                  <c:v>9.30722907511132</c:v>
                </c:pt>
                <c:pt idx="8">
                  <c:v>9.879356764370788</c:v>
                </c:pt>
                <c:pt idx="9">
                  <c:v>10.52267925463353</c:v>
                </c:pt>
                <c:pt idx="10">
                  <c:v>11.02228801072917</c:v>
                </c:pt>
              </c:numCache>
            </c:numRef>
          </c:yVal>
          <c:smooth val="1"/>
        </c:ser>
        <c:axId val="620379848"/>
        <c:axId val="620383000"/>
      </c:scatterChart>
      <c:valAx>
        <c:axId val="620379848"/>
        <c:scaling>
          <c:orientation val="minMax"/>
        </c:scaling>
        <c:axPos val="b"/>
        <c:numFmt formatCode="General" sourceLinked="1"/>
        <c:tickLblPos val="nextTo"/>
        <c:crossAx val="620383000"/>
        <c:crosses val="autoZero"/>
        <c:crossBetween val="midCat"/>
      </c:valAx>
      <c:valAx>
        <c:axId val="620383000"/>
        <c:scaling>
          <c:orientation val="minMax"/>
        </c:scaling>
        <c:axPos val="l"/>
        <c:majorGridlines/>
        <c:numFmt formatCode="General" sourceLinked="1"/>
        <c:tickLblPos val="nextTo"/>
        <c:crossAx val="62037984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Traction/courant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'4225-390Kv'!$E$14:$E$24</c:f>
              <c:numCache>
                <c:formatCode>General</c:formatCode>
                <c:ptCount val="11"/>
                <c:pt idx="0">
                  <c:v>10.12281113990414</c:v>
                </c:pt>
                <c:pt idx="1">
                  <c:v>9.931234468032438</c:v>
                </c:pt>
                <c:pt idx="2">
                  <c:v>8.980079556088405</c:v>
                </c:pt>
                <c:pt idx="3">
                  <c:v>8.198757266930047</c:v>
                </c:pt>
                <c:pt idx="4">
                  <c:v>7.447405503432498</c:v>
                </c:pt>
                <c:pt idx="5">
                  <c:v>6.726834635468655</c:v>
                </c:pt>
                <c:pt idx="6">
                  <c:v>6.37835538215407</c:v>
                </c:pt>
                <c:pt idx="7">
                  <c:v>6.166316850705352</c:v>
                </c:pt>
                <c:pt idx="8">
                  <c:v>4.75848378536427</c:v>
                </c:pt>
                <c:pt idx="9">
                  <c:v>4.459837576841141</c:v>
                </c:pt>
                <c:pt idx="10">
                  <c:v>4.296400941445913</c:v>
                </c:pt>
              </c:numCache>
            </c:numRef>
          </c:xVal>
          <c:yVal>
            <c:numRef>
              <c:f>'4225-390Kv'!$K$14:$K$24</c:f>
              <c:numCache>
                <c:formatCode>General</c:formatCode>
                <c:ptCount val="11"/>
                <c:pt idx="0">
                  <c:v>1588.602306758993</c:v>
                </c:pt>
                <c:pt idx="1">
                  <c:v>1557.931649163514</c:v>
                </c:pt>
                <c:pt idx="2">
                  <c:v>1405.655558658975</c:v>
                </c:pt>
                <c:pt idx="3">
                  <c:v>1280.568990610957</c:v>
                </c:pt>
                <c:pt idx="4">
                  <c:v>1160.280583641325</c:v>
                </c:pt>
                <c:pt idx="5">
                  <c:v>1044.920074719898</c:v>
                </c:pt>
                <c:pt idx="6">
                  <c:v>989.1299424813623</c:v>
                </c:pt>
                <c:pt idx="7">
                  <c:v>955.1834231501026</c:v>
                </c:pt>
                <c:pt idx="8">
                  <c:v>729.7949900135934</c:v>
                </c:pt>
                <c:pt idx="9">
                  <c:v>681.9829285850788</c:v>
                </c:pt>
                <c:pt idx="10">
                  <c:v>655.8173780836047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'4225-390Kv'!$E$35:$E$42</c:f>
              <c:numCache>
                <c:formatCode>General</c:formatCode>
                <c:ptCount val="8"/>
                <c:pt idx="0">
                  <c:v>10.24977479945971</c:v>
                </c:pt>
                <c:pt idx="1">
                  <c:v>9.748695196345745</c:v>
                </c:pt>
                <c:pt idx="2">
                  <c:v>8.776188120225843</c:v>
                </c:pt>
                <c:pt idx="3">
                  <c:v>7.844481814600062</c:v>
                </c:pt>
                <c:pt idx="4">
                  <c:v>6.739679727250155</c:v>
                </c:pt>
                <c:pt idx="5">
                  <c:v>6.109998100634516</c:v>
                </c:pt>
                <c:pt idx="6">
                  <c:v>5.310764504864767</c:v>
                </c:pt>
                <c:pt idx="7">
                  <c:v>4.544918003343981</c:v>
                </c:pt>
              </c:numCache>
            </c:numRef>
          </c:xVal>
          <c:yVal>
            <c:numRef>
              <c:f>'4225-390Kv'!$K$35:$K$42</c:f>
              <c:numCache>
                <c:formatCode>General</c:formatCode>
                <c:ptCount val="8"/>
                <c:pt idx="0">
                  <c:v>1372.386018122943</c:v>
                </c:pt>
                <c:pt idx="1">
                  <c:v>1303.95914737186</c:v>
                </c:pt>
                <c:pt idx="2">
                  <c:v>1171.154667627251</c:v>
                </c:pt>
                <c:pt idx="3">
                  <c:v>1043.921895515143</c:v>
                </c:pt>
                <c:pt idx="4">
                  <c:v>893.0513568485778</c:v>
                </c:pt>
                <c:pt idx="5">
                  <c:v>807.0627374535867</c:v>
                </c:pt>
                <c:pt idx="6">
                  <c:v>697.9202905892506</c:v>
                </c:pt>
                <c:pt idx="7">
                  <c:v>593.3371480125672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'4225-390Kv'!$E$54:$E$61</c:f>
              <c:numCache>
                <c:formatCode>General</c:formatCode>
                <c:ptCount val="8"/>
                <c:pt idx="0">
                  <c:v>10.26821894372783</c:v>
                </c:pt>
                <c:pt idx="1">
                  <c:v>9.607813474661153</c:v>
                </c:pt>
                <c:pt idx="2">
                  <c:v>8.694889368761636</c:v>
                </c:pt>
                <c:pt idx="3">
                  <c:v>7.818965183013444</c:v>
                </c:pt>
                <c:pt idx="4">
                  <c:v>6.65730508357153</c:v>
                </c:pt>
                <c:pt idx="5">
                  <c:v>5.875598579545441</c:v>
                </c:pt>
                <c:pt idx="6">
                  <c:v>5.426500446024392</c:v>
                </c:pt>
                <c:pt idx="7">
                  <c:v>4.371698672979872</c:v>
                </c:pt>
              </c:numCache>
            </c:numRef>
          </c:xVal>
          <c:yVal>
            <c:numRef>
              <c:f>'4225-390Kv'!$K$54:$K$61</c:f>
              <c:numCache>
                <c:formatCode>General</c:formatCode>
                <c:ptCount val="8"/>
                <c:pt idx="0">
                  <c:v>1320.782182995961</c:v>
                </c:pt>
                <c:pt idx="1">
                  <c:v>1234.148014433335</c:v>
                </c:pt>
                <c:pt idx="2">
                  <c:v>1114.387617858844</c:v>
                </c:pt>
                <c:pt idx="3">
                  <c:v>999.4809928979205</c:v>
                </c:pt>
                <c:pt idx="4">
                  <c:v>847.0905879399423</c:v>
                </c:pt>
                <c:pt idx="5">
                  <c:v>744.5437493560588</c:v>
                </c:pt>
                <c:pt idx="6">
                  <c:v>685.6295743180902</c:v>
                </c:pt>
                <c:pt idx="7">
                  <c:v>547.2571972158163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'4225-390Kv'!$E$72:$E$77</c:f>
              <c:numCache>
                <c:formatCode>General</c:formatCode>
                <c:ptCount val="6"/>
                <c:pt idx="0">
                  <c:v>10.39449190887706</c:v>
                </c:pt>
                <c:pt idx="1">
                  <c:v>7.728746208947406</c:v>
                </c:pt>
                <c:pt idx="2">
                  <c:v>7.188957075932686</c:v>
                </c:pt>
                <c:pt idx="3">
                  <c:v>6.664261978408788</c:v>
                </c:pt>
                <c:pt idx="4">
                  <c:v>5.661983518111659</c:v>
                </c:pt>
                <c:pt idx="5">
                  <c:v>4.6359910307337</c:v>
                </c:pt>
              </c:numCache>
            </c:numRef>
          </c:xVal>
          <c:yVal>
            <c:numRef>
              <c:f>'4225-390Kv'!$K$72:$K$77</c:f>
              <c:numCache>
                <c:formatCode>General</c:formatCode>
                <c:ptCount val="6"/>
                <c:pt idx="0">
                  <c:v>1248.585432916826</c:v>
                </c:pt>
                <c:pt idx="1">
                  <c:v>922.0942964733742</c:v>
                </c:pt>
                <c:pt idx="2">
                  <c:v>855.9828262448195</c:v>
                </c:pt>
                <c:pt idx="3">
                  <c:v>791.720020275962</c:v>
                </c:pt>
                <c:pt idx="4">
                  <c:v>668.9644875393535</c:v>
                </c:pt>
                <c:pt idx="5">
                  <c:v>543.3045443589826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'4225-390Kv'!$E$88:$E$98</c:f>
              <c:numCache>
                <c:formatCode>General</c:formatCode>
                <c:ptCount val="11"/>
                <c:pt idx="0">
                  <c:v>10.10543098805774</c:v>
                </c:pt>
                <c:pt idx="1">
                  <c:v>9.263661407078876</c:v>
                </c:pt>
                <c:pt idx="2">
                  <c:v>8.52519945279037</c:v>
                </c:pt>
                <c:pt idx="3">
                  <c:v>7.812847379133538</c:v>
                </c:pt>
                <c:pt idx="4">
                  <c:v>7.127211005979017</c:v>
                </c:pt>
                <c:pt idx="5">
                  <c:v>6.468919949784557</c:v>
                </c:pt>
                <c:pt idx="6">
                  <c:v>5.715990230742545</c:v>
                </c:pt>
                <c:pt idx="7">
                  <c:v>5.237019311412802</c:v>
                </c:pt>
                <c:pt idx="8">
                  <c:v>4.664800405162098</c:v>
                </c:pt>
                <c:pt idx="9">
                  <c:v>4.122711348306582</c:v>
                </c:pt>
                <c:pt idx="10">
                  <c:v>3.761587615537503</c:v>
                </c:pt>
              </c:numCache>
            </c:numRef>
          </c:xVal>
          <c:yVal>
            <c:numRef>
              <c:f>'4225-390Kv'!$K$88:$K$98</c:f>
              <c:numCache>
                <c:formatCode>General</c:formatCode>
                <c:ptCount val="11"/>
                <c:pt idx="0">
                  <c:v>1533.643159345197</c:v>
                </c:pt>
                <c:pt idx="1">
                  <c:v>1403.313226082377</c:v>
                </c:pt>
                <c:pt idx="2">
                  <c:v>1288.978259133786</c:v>
                </c:pt>
                <c:pt idx="3">
                  <c:v>1178.68584620127</c:v>
                </c:pt>
                <c:pt idx="4">
                  <c:v>1072.529785475158</c:v>
                </c:pt>
                <c:pt idx="5">
                  <c:v>970.6075595358657</c:v>
                </c:pt>
                <c:pt idx="6">
                  <c:v>854.0325700711438</c:v>
                </c:pt>
                <c:pt idx="7">
                  <c:v>779.8742144336111</c:v>
                </c:pt>
                <c:pt idx="8">
                  <c:v>691.2784115576665</c:v>
                </c:pt>
                <c:pt idx="9">
                  <c:v>607.3475684873504</c:v>
                </c:pt>
                <c:pt idx="10">
                  <c:v>551.4353176114165</c:v>
                </c:pt>
              </c:numCache>
            </c:numRef>
          </c:yVal>
          <c:smooth val="1"/>
        </c:ser>
        <c:axId val="685245736"/>
        <c:axId val="685276744"/>
      </c:scatterChart>
      <c:valAx>
        <c:axId val="685245736"/>
        <c:scaling>
          <c:orientation val="minMax"/>
        </c:scaling>
        <c:axPos val="b"/>
        <c:numFmt formatCode="General" sourceLinked="1"/>
        <c:tickLblPos val="nextTo"/>
        <c:crossAx val="685276744"/>
        <c:crosses val="autoZero"/>
        <c:crossBetween val="midCat"/>
      </c:valAx>
      <c:valAx>
        <c:axId val="685276744"/>
        <c:scaling>
          <c:orientation val="minMax"/>
        </c:scaling>
        <c:axPos val="l"/>
        <c:majorGridlines/>
        <c:numFmt formatCode="General" sourceLinked="1"/>
        <c:tickLblPos val="nextTo"/>
        <c:crossAx val="68524573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rendement Turnigy 4225-390Kv/traction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'4225-390Kv'!$K$14:$K$24</c:f>
              <c:numCache>
                <c:formatCode>General</c:formatCode>
                <c:ptCount val="11"/>
                <c:pt idx="0">
                  <c:v>1588.602306758993</c:v>
                </c:pt>
                <c:pt idx="1">
                  <c:v>1557.931649163514</c:v>
                </c:pt>
                <c:pt idx="2">
                  <c:v>1405.655558658975</c:v>
                </c:pt>
                <c:pt idx="3">
                  <c:v>1280.568990610957</c:v>
                </c:pt>
                <c:pt idx="4">
                  <c:v>1160.280583641325</c:v>
                </c:pt>
                <c:pt idx="5">
                  <c:v>1044.920074719898</c:v>
                </c:pt>
                <c:pt idx="6">
                  <c:v>989.1299424813623</c:v>
                </c:pt>
                <c:pt idx="7">
                  <c:v>955.1834231501026</c:v>
                </c:pt>
                <c:pt idx="8">
                  <c:v>729.7949900135934</c:v>
                </c:pt>
                <c:pt idx="9">
                  <c:v>681.9829285850788</c:v>
                </c:pt>
                <c:pt idx="10">
                  <c:v>655.8173780836047</c:v>
                </c:pt>
              </c:numCache>
            </c:numRef>
          </c:xVal>
          <c:yVal>
            <c:numRef>
              <c:f>'4225-390Kv'!$H$14:$H$24</c:f>
              <c:numCache>
                <c:formatCode>General</c:formatCode>
                <c:ptCount val="11"/>
                <c:pt idx="0">
                  <c:v>86.89587791100489</c:v>
                </c:pt>
                <c:pt idx="1">
                  <c:v>86.95404834723118</c:v>
                </c:pt>
                <c:pt idx="2">
                  <c:v>87.23675277138906</c:v>
                </c:pt>
                <c:pt idx="3">
                  <c:v>87.45691252291277</c:v>
                </c:pt>
                <c:pt idx="4">
                  <c:v>87.65129366639517</c:v>
                </c:pt>
                <c:pt idx="5">
                  <c:v>87.81247862971659</c:v>
                </c:pt>
                <c:pt idx="6">
                  <c:v>87.87769673706116</c:v>
                </c:pt>
                <c:pt idx="7">
                  <c:v>87.9121253047019</c:v>
                </c:pt>
                <c:pt idx="8">
                  <c:v>87.98243689743531</c:v>
                </c:pt>
                <c:pt idx="9">
                  <c:v>87.94248717197632</c:v>
                </c:pt>
                <c:pt idx="10">
                  <c:v>87.90820703672877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'4225-390Kv'!$K$35:$K$42</c:f>
              <c:numCache>
                <c:formatCode>General</c:formatCode>
                <c:ptCount val="8"/>
                <c:pt idx="0">
                  <c:v>1372.386018122943</c:v>
                </c:pt>
                <c:pt idx="1">
                  <c:v>1303.95914737186</c:v>
                </c:pt>
                <c:pt idx="2">
                  <c:v>1171.154667627251</c:v>
                </c:pt>
                <c:pt idx="3">
                  <c:v>1043.921895515143</c:v>
                </c:pt>
                <c:pt idx="4">
                  <c:v>893.0513568485778</c:v>
                </c:pt>
                <c:pt idx="5">
                  <c:v>807.0627374535867</c:v>
                </c:pt>
                <c:pt idx="6">
                  <c:v>697.9202905892506</c:v>
                </c:pt>
                <c:pt idx="7">
                  <c:v>593.3371480125672</c:v>
                </c:pt>
              </c:numCache>
            </c:numRef>
          </c:xVal>
          <c:yVal>
            <c:numRef>
              <c:f>'4225-390Kv'!$H$35:$H$42</c:f>
              <c:numCache>
                <c:formatCode>General</c:formatCode>
                <c:ptCount val="8"/>
                <c:pt idx="0">
                  <c:v>84.26618932063783</c:v>
                </c:pt>
                <c:pt idx="1">
                  <c:v>84.46793253164226</c:v>
                </c:pt>
                <c:pt idx="2">
                  <c:v>84.85682409883188</c:v>
                </c:pt>
                <c:pt idx="3">
                  <c:v>85.21926617168337</c:v>
                </c:pt>
                <c:pt idx="4">
                  <c:v>85.61778623351175</c:v>
                </c:pt>
                <c:pt idx="5">
                  <c:v>85.81591083594192</c:v>
                </c:pt>
                <c:pt idx="6">
                  <c:v>86.01253484648559</c:v>
                </c:pt>
                <c:pt idx="7">
                  <c:v>86.10239203402395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'4225-390Kv'!$K$54:$K$61</c:f>
              <c:numCache>
                <c:formatCode>General</c:formatCode>
                <c:ptCount val="8"/>
                <c:pt idx="0">
                  <c:v>1320.782182995961</c:v>
                </c:pt>
                <c:pt idx="1">
                  <c:v>1234.148014433335</c:v>
                </c:pt>
                <c:pt idx="2">
                  <c:v>1114.387617858844</c:v>
                </c:pt>
                <c:pt idx="3">
                  <c:v>999.4809928979205</c:v>
                </c:pt>
                <c:pt idx="4">
                  <c:v>847.0905879399423</c:v>
                </c:pt>
                <c:pt idx="5">
                  <c:v>744.5437493560588</c:v>
                </c:pt>
                <c:pt idx="6">
                  <c:v>685.6295743180902</c:v>
                </c:pt>
                <c:pt idx="7">
                  <c:v>547.2571972158163</c:v>
                </c:pt>
              </c:numCache>
            </c:numRef>
          </c:xVal>
          <c:yVal>
            <c:numRef>
              <c:f>'4225-390Kv'!$H$54:$H$61</c:f>
              <c:numCache>
                <c:formatCode>General</c:formatCode>
                <c:ptCount val="8"/>
                <c:pt idx="0">
                  <c:v>85.13046422122812</c:v>
                </c:pt>
                <c:pt idx="1">
                  <c:v>85.37460962068131</c:v>
                </c:pt>
                <c:pt idx="2">
                  <c:v>85.7070132291439</c:v>
                </c:pt>
                <c:pt idx="3">
                  <c:v>86.0136689849393</c:v>
                </c:pt>
                <c:pt idx="4">
                  <c:v>86.38103328105664</c:v>
                </c:pt>
                <c:pt idx="5">
                  <c:v>86.58032929186735</c:v>
                </c:pt>
                <c:pt idx="6">
                  <c:v>86.66545952245662</c:v>
                </c:pt>
                <c:pt idx="7">
                  <c:v>86.71896552144151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'4225-390Kv'!$K$72:$K$77</c:f>
              <c:numCache>
                <c:formatCode>General</c:formatCode>
                <c:ptCount val="6"/>
                <c:pt idx="0">
                  <c:v>1248.585432916826</c:v>
                </c:pt>
                <c:pt idx="1">
                  <c:v>922.0942964733742</c:v>
                </c:pt>
                <c:pt idx="2">
                  <c:v>855.9828262448195</c:v>
                </c:pt>
                <c:pt idx="3">
                  <c:v>791.720020275962</c:v>
                </c:pt>
                <c:pt idx="4">
                  <c:v>668.9644875393535</c:v>
                </c:pt>
                <c:pt idx="5">
                  <c:v>543.3045443589826</c:v>
                </c:pt>
              </c:numCache>
            </c:numRef>
          </c:xVal>
          <c:yVal>
            <c:numRef>
              <c:f>'4225-390Kv'!$H$72:$H$77</c:f>
              <c:numCache>
                <c:formatCode>General</c:formatCode>
                <c:ptCount val="6"/>
                <c:pt idx="0">
                  <c:v>80.9662672590936</c:v>
                </c:pt>
                <c:pt idx="1">
                  <c:v>82.35476573377713</c:v>
                </c:pt>
                <c:pt idx="2">
                  <c:v>82.63230574071648</c:v>
                </c:pt>
                <c:pt idx="3">
                  <c:v>82.89507318329436</c:v>
                </c:pt>
                <c:pt idx="4">
                  <c:v>83.35890853931453</c:v>
                </c:pt>
                <c:pt idx="5">
                  <c:v>83.72370480119658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'4225-390Kv'!$K$88:$K$98</c:f>
              <c:numCache>
                <c:formatCode>General</c:formatCode>
                <c:ptCount val="11"/>
                <c:pt idx="0">
                  <c:v>1533.643159345197</c:v>
                </c:pt>
                <c:pt idx="1">
                  <c:v>1403.313226082377</c:v>
                </c:pt>
                <c:pt idx="2">
                  <c:v>1288.978259133786</c:v>
                </c:pt>
                <c:pt idx="3">
                  <c:v>1178.68584620127</c:v>
                </c:pt>
                <c:pt idx="4">
                  <c:v>1072.529785475158</c:v>
                </c:pt>
                <c:pt idx="5">
                  <c:v>970.6075595358657</c:v>
                </c:pt>
                <c:pt idx="6">
                  <c:v>854.0325700711438</c:v>
                </c:pt>
                <c:pt idx="7">
                  <c:v>779.8742144336111</c:v>
                </c:pt>
                <c:pt idx="8">
                  <c:v>691.2784115576665</c:v>
                </c:pt>
                <c:pt idx="9">
                  <c:v>607.3475684873504</c:v>
                </c:pt>
                <c:pt idx="10">
                  <c:v>551.4353176114165</c:v>
                </c:pt>
              </c:numCache>
            </c:numRef>
          </c:xVal>
          <c:yVal>
            <c:numRef>
              <c:f>'4225-390Kv'!$H$88:$H$98</c:f>
              <c:numCache>
                <c:formatCode>General</c:formatCode>
                <c:ptCount val="11"/>
                <c:pt idx="0">
                  <c:v>87.72950933246049</c:v>
                </c:pt>
                <c:pt idx="1">
                  <c:v>87.95339581913436</c:v>
                </c:pt>
                <c:pt idx="2">
                  <c:v>88.13950017116228</c:v>
                </c:pt>
                <c:pt idx="3">
                  <c:v>88.3046969691731</c:v>
                </c:pt>
                <c:pt idx="4">
                  <c:v>88.44369197942887</c:v>
                </c:pt>
                <c:pt idx="5">
                  <c:v>88.54973385397687</c:v>
                </c:pt>
                <c:pt idx="6">
                  <c:v>88.62105766108473</c:v>
                </c:pt>
                <c:pt idx="7">
                  <c:v>88.62550478304954</c:v>
                </c:pt>
                <c:pt idx="8">
                  <c:v>88.56889046670884</c:v>
                </c:pt>
                <c:pt idx="9">
                  <c:v>88.42417557358377</c:v>
                </c:pt>
                <c:pt idx="10">
                  <c:v>88.25617104312501</c:v>
                </c:pt>
              </c:numCache>
            </c:numRef>
          </c:yVal>
          <c:smooth val="1"/>
        </c:ser>
        <c:axId val="731880360"/>
        <c:axId val="731877672"/>
      </c:scatterChart>
      <c:valAx>
        <c:axId val="731880360"/>
        <c:scaling>
          <c:orientation val="minMax"/>
        </c:scaling>
        <c:axPos val="b"/>
        <c:numFmt formatCode="General" sourceLinked="1"/>
        <c:tickLblPos val="nextTo"/>
        <c:crossAx val="731877672"/>
        <c:crosses val="autoZero"/>
        <c:crossBetween val="midCat"/>
      </c:valAx>
      <c:valAx>
        <c:axId val="731877672"/>
        <c:scaling>
          <c:orientation val="minMax"/>
        </c:scaling>
        <c:axPos val="l"/>
        <c:majorGridlines/>
        <c:numFmt formatCode="General" sourceLinked="1"/>
        <c:tickLblPos val="nextTo"/>
        <c:crossAx val="73188036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temps de vol à 65% des 5Ah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'4225-390Kv'!$K$14:$K$24</c:f>
              <c:numCache>
                <c:formatCode>General</c:formatCode>
                <c:ptCount val="11"/>
                <c:pt idx="0">
                  <c:v>1588.602306758993</c:v>
                </c:pt>
                <c:pt idx="1">
                  <c:v>1557.931649163514</c:v>
                </c:pt>
                <c:pt idx="2">
                  <c:v>1405.655558658975</c:v>
                </c:pt>
                <c:pt idx="3">
                  <c:v>1280.568990610957</c:v>
                </c:pt>
                <c:pt idx="4">
                  <c:v>1160.280583641325</c:v>
                </c:pt>
                <c:pt idx="5">
                  <c:v>1044.920074719898</c:v>
                </c:pt>
                <c:pt idx="6">
                  <c:v>989.1299424813623</c:v>
                </c:pt>
                <c:pt idx="7">
                  <c:v>955.1834231501026</c:v>
                </c:pt>
                <c:pt idx="8">
                  <c:v>729.7949900135934</c:v>
                </c:pt>
                <c:pt idx="9">
                  <c:v>681.9829285850788</c:v>
                </c:pt>
                <c:pt idx="10">
                  <c:v>655.8173780836047</c:v>
                </c:pt>
              </c:numCache>
            </c:numRef>
          </c:xVal>
          <c:yVal>
            <c:numRef>
              <c:f>'4225-390Kv'!$O$14:$O$24</c:f>
              <c:numCache>
                <c:formatCode>General</c:formatCode>
                <c:ptCount val="11"/>
                <c:pt idx="0">
                  <c:v>7.70536947908905</c:v>
                </c:pt>
                <c:pt idx="1">
                  <c:v>7.854008507308281</c:v>
                </c:pt>
                <c:pt idx="2">
                  <c:v>8.685891869088928</c:v>
                </c:pt>
                <c:pt idx="3">
                  <c:v>9.513636940395286</c:v>
                </c:pt>
                <c:pt idx="4">
                  <c:v>10.47344608320977</c:v>
                </c:pt>
                <c:pt idx="5">
                  <c:v>11.59534970411322</c:v>
                </c:pt>
                <c:pt idx="6">
                  <c:v>12.22885764851475</c:v>
                </c:pt>
                <c:pt idx="7">
                  <c:v>12.64936620814056</c:v>
                </c:pt>
                <c:pt idx="8">
                  <c:v>16.39177593499543</c:v>
                </c:pt>
                <c:pt idx="9">
                  <c:v>17.48942616319373</c:v>
                </c:pt>
                <c:pt idx="10">
                  <c:v>18.15473021792744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'4225-390Kv'!$K$35:$K$42</c:f>
              <c:numCache>
                <c:formatCode>General</c:formatCode>
                <c:ptCount val="8"/>
                <c:pt idx="0">
                  <c:v>1372.386018122943</c:v>
                </c:pt>
                <c:pt idx="1">
                  <c:v>1303.95914737186</c:v>
                </c:pt>
                <c:pt idx="2">
                  <c:v>1171.154667627251</c:v>
                </c:pt>
                <c:pt idx="3">
                  <c:v>1043.921895515143</c:v>
                </c:pt>
                <c:pt idx="4">
                  <c:v>893.0513568485778</c:v>
                </c:pt>
                <c:pt idx="5">
                  <c:v>807.0627374535867</c:v>
                </c:pt>
                <c:pt idx="6">
                  <c:v>697.9202905892506</c:v>
                </c:pt>
                <c:pt idx="7">
                  <c:v>593.3371480125672</c:v>
                </c:pt>
              </c:numCache>
            </c:numRef>
          </c:xVal>
          <c:yVal>
            <c:numRef>
              <c:f>'4225-390Kv'!$O$35:$O$42</c:f>
              <c:numCache>
                <c:formatCode>General</c:formatCode>
                <c:ptCount val="8"/>
                <c:pt idx="0">
                  <c:v>7.609923293545103</c:v>
                </c:pt>
                <c:pt idx="1">
                  <c:v>8.001070751420965</c:v>
                </c:pt>
                <c:pt idx="2">
                  <c:v>8.88768551123455</c:v>
                </c:pt>
                <c:pt idx="3">
                  <c:v>9.943295407330446</c:v>
                </c:pt>
                <c:pt idx="4">
                  <c:v>11.57325023689585</c:v>
                </c:pt>
                <c:pt idx="5">
                  <c:v>12.76596141525802</c:v>
                </c:pt>
                <c:pt idx="6">
                  <c:v>14.687150960761</c:v>
                </c:pt>
                <c:pt idx="7">
                  <c:v>17.16202579289891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'4225-390Kv'!$K$54:$K$61</c:f>
              <c:numCache>
                <c:formatCode>General</c:formatCode>
                <c:ptCount val="8"/>
                <c:pt idx="0">
                  <c:v>1320.782182995961</c:v>
                </c:pt>
                <c:pt idx="1">
                  <c:v>1234.148014433335</c:v>
                </c:pt>
                <c:pt idx="2">
                  <c:v>1114.387617858844</c:v>
                </c:pt>
                <c:pt idx="3">
                  <c:v>999.4809928979205</c:v>
                </c:pt>
                <c:pt idx="4">
                  <c:v>847.0905879399423</c:v>
                </c:pt>
                <c:pt idx="5">
                  <c:v>744.5437493560588</c:v>
                </c:pt>
                <c:pt idx="6">
                  <c:v>685.6295743180902</c:v>
                </c:pt>
                <c:pt idx="7">
                  <c:v>547.2571972158163</c:v>
                </c:pt>
              </c:numCache>
            </c:numRef>
          </c:xVal>
          <c:yVal>
            <c:numRef>
              <c:f>'4225-390Kv'!$O$54:$O$61</c:f>
              <c:numCache>
                <c:formatCode>General</c:formatCode>
                <c:ptCount val="8"/>
                <c:pt idx="0">
                  <c:v>7.5962540755566</c:v>
                </c:pt>
                <c:pt idx="1">
                  <c:v>8.118392411104848</c:v>
                </c:pt>
                <c:pt idx="2">
                  <c:v>8.97078694068641</c:v>
                </c:pt>
                <c:pt idx="3">
                  <c:v>9.97574463810806</c:v>
                </c:pt>
                <c:pt idx="4">
                  <c:v>11.71645268180414</c:v>
                </c:pt>
                <c:pt idx="5">
                  <c:v>13.27524318484575</c:v>
                </c:pt>
                <c:pt idx="6">
                  <c:v>14.37390465104357</c:v>
                </c:pt>
                <c:pt idx="7">
                  <c:v>17.84203483238542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'4225-390Kv'!$K$72:$K$77</c:f>
              <c:numCache>
                <c:formatCode>General</c:formatCode>
                <c:ptCount val="6"/>
                <c:pt idx="0">
                  <c:v>1248.585432916826</c:v>
                </c:pt>
                <c:pt idx="1">
                  <c:v>922.0942964733742</c:v>
                </c:pt>
                <c:pt idx="2">
                  <c:v>855.9828262448195</c:v>
                </c:pt>
                <c:pt idx="3">
                  <c:v>791.720020275962</c:v>
                </c:pt>
                <c:pt idx="4">
                  <c:v>668.9644875393535</c:v>
                </c:pt>
                <c:pt idx="5">
                  <c:v>543.3045443589826</c:v>
                </c:pt>
              </c:numCache>
            </c:numRef>
          </c:xVal>
          <c:yVal>
            <c:numRef>
              <c:f>'4225-390Kv'!$O$72:$O$77</c:f>
              <c:numCache>
                <c:formatCode>General</c:formatCode>
                <c:ptCount val="6"/>
                <c:pt idx="0">
                  <c:v>7.503974285976094</c:v>
                </c:pt>
                <c:pt idx="1">
                  <c:v>10.09219320847941</c:v>
                </c:pt>
                <c:pt idx="2">
                  <c:v>10.84997436709279</c:v>
                </c:pt>
                <c:pt idx="3">
                  <c:v>11.70422175069172</c:v>
                </c:pt>
                <c:pt idx="4">
                  <c:v>13.7760909671482</c:v>
                </c:pt>
                <c:pt idx="5">
                  <c:v>16.82488155885314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'4225-390Kv'!$K$88:$K$98</c:f>
              <c:numCache>
                <c:formatCode>General</c:formatCode>
                <c:ptCount val="11"/>
                <c:pt idx="0">
                  <c:v>1533.643159345197</c:v>
                </c:pt>
                <c:pt idx="1">
                  <c:v>1403.313226082377</c:v>
                </c:pt>
                <c:pt idx="2">
                  <c:v>1288.978259133786</c:v>
                </c:pt>
                <c:pt idx="3">
                  <c:v>1178.68584620127</c:v>
                </c:pt>
                <c:pt idx="4">
                  <c:v>1072.529785475158</c:v>
                </c:pt>
                <c:pt idx="5">
                  <c:v>970.6075595358657</c:v>
                </c:pt>
                <c:pt idx="6">
                  <c:v>854.0325700711438</c:v>
                </c:pt>
                <c:pt idx="7">
                  <c:v>779.8742144336111</c:v>
                </c:pt>
                <c:pt idx="8">
                  <c:v>691.2784115576665</c:v>
                </c:pt>
                <c:pt idx="9">
                  <c:v>607.3475684873504</c:v>
                </c:pt>
                <c:pt idx="10">
                  <c:v>551.4353176114165</c:v>
                </c:pt>
              </c:numCache>
            </c:numRef>
          </c:xVal>
          <c:yVal>
            <c:numRef>
              <c:f>'4225-390Kv'!$O$88:$O$98</c:f>
              <c:numCache>
                <c:formatCode>General</c:formatCode>
                <c:ptCount val="11"/>
                <c:pt idx="0">
                  <c:v>7.718621807637677</c:v>
                </c:pt>
                <c:pt idx="1">
                  <c:v>8.41999686434954</c:v>
                </c:pt>
                <c:pt idx="2">
                  <c:v>9.149346057172885</c:v>
                </c:pt>
                <c:pt idx="3">
                  <c:v>9.98355608587997</c:v>
                </c:pt>
                <c:pt idx="4">
                  <c:v>10.94397232445704</c:v>
                </c:pt>
                <c:pt idx="5">
                  <c:v>12.05765423061043</c:v>
                </c:pt>
                <c:pt idx="6">
                  <c:v>13.64592955048968</c:v>
                </c:pt>
                <c:pt idx="7">
                  <c:v>14.89396837434189</c:v>
                </c:pt>
                <c:pt idx="8">
                  <c:v>16.720972651624</c:v>
                </c:pt>
                <c:pt idx="9">
                  <c:v>18.91958796291639</c:v>
                </c:pt>
                <c:pt idx="10">
                  <c:v>20.7359253517891</c:v>
                </c:pt>
              </c:numCache>
            </c:numRef>
          </c:yVal>
          <c:smooth val="1"/>
        </c:ser>
        <c:axId val="731802104"/>
        <c:axId val="731799208"/>
      </c:scatterChart>
      <c:valAx>
        <c:axId val="731802104"/>
        <c:scaling>
          <c:orientation val="minMax"/>
        </c:scaling>
        <c:axPos val="b"/>
        <c:numFmt formatCode="General" sourceLinked="1"/>
        <c:tickLblPos val="nextTo"/>
        <c:crossAx val="731799208"/>
        <c:crosses val="autoZero"/>
        <c:crossBetween val="midCat"/>
      </c:valAx>
      <c:valAx>
        <c:axId val="731799208"/>
        <c:scaling>
          <c:orientation val="minMax"/>
        </c:scaling>
        <c:axPos val="l"/>
        <c:majorGridlines/>
        <c:numFmt formatCode="General" sourceLinked="1"/>
        <c:tickLblPos val="nextTo"/>
        <c:crossAx val="7318021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globale (grs/W)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'4010-375Kv'!$F$14:$F$24</c:f>
              <c:numCache>
                <c:formatCode>General</c:formatCode>
                <c:ptCount val="11"/>
                <c:pt idx="0">
                  <c:v>246.7301293345776</c:v>
                </c:pt>
                <c:pt idx="1">
                  <c:v>221.32341570204</c:v>
                </c:pt>
                <c:pt idx="2">
                  <c:v>184.5922469943784</c:v>
                </c:pt>
                <c:pt idx="3">
                  <c:v>160.1337705758216</c:v>
                </c:pt>
                <c:pt idx="4">
                  <c:v>137.9108506092333</c:v>
                </c:pt>
                <c:pt idx="5">
                  <c:v>127.6078441839565</c:v>
                </c:pt>
                <c:pt idx="6">
                  <c:v>117.8276224657767</c:v>
                </c:pt>
                <c:pt idx="7">
                  <c:v>108.919031898379</c:v>
                </c:pt>
                <c:pt idx="8">
                  <c:v>91.50004564905843</c:v>
                </c:pt>
                <c:pt idx="9">
                  <c:v>76.3333096501717</c:v>
                </c:pt>
                <c:pt idx="10">
                  <c:v>65.6209221515274</c:v>
                </c:pt>
              </c:numCache>
            </c:numRef>
          </c:xVal>
          <c:yVal>
            <c:numRef>
              <c:f>'4010-375Kv'!$L$14:$L$24</c:f>
              <c:numCache>
                <c:formatCode>General</c:formatCode>
                <c:ptCount val="11"/>
                <c:pt idx="0">
                  <c:v>7.095097061402745</c:v>
                </c:pt>
                <c:pt idx="1">
                  <c:v>7.347211837286315</c:v>
                </c:pt>
                <c:pt idx="2">
                  <c:v>7.783799372116781</c:v>
                </c:pt>
                <c:pt idx="3">
                  <c:v>8.139296320308016</c:v>
                </c:pt>
                <c:pt idx="4">
                  <c:v>8.525610454812883</c:v>
                </c:pt>
                <c:pt idx="5">
                  <c:v>8.731409729855702</c:v>
                </c:pt>
                <c:pt idx="6">
                  <c:v>8.946259951770441</c:v>
                </c:pt>
                <c:pt idx="7">
                  <c:v>9.161488234006323</c:v>
                </c:pt>
                <c:pt idx="8">
                  <c:v>9.650123078622088</c:v>
                </c:pt>
                <c:pt idx="9">
                  <c:v>10.17401439389213</c:v>
                </c:pt>
                <c:pt idx="10">
                  <c:v>10.62202917306649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'4010-375Kv'!$F$36:$F$43</c:f>
              <c:numCache>
                <c:formatCode>General</c:formatCode>
                <c:ptCount val="8"/>
                <c:pt idx="0">
                  <c:v>247.2561170847788</c:v>
                </c:pt>
                <c:pt idx="1">
                  <c:v>203.9271343625231</c:v>
                </c:pt>
                <c:pt idx="2">
                  <c:v>174.1701702770484</c:v>
                </c:pt>
                <c:pt idx="3">
                  <c:v>147.3797147014949</c:v>
                </c:pt>
                <c:pt idx="4">
                  <c:v>85.22684257342856</c:v>
                </c:pt>
                <c:pt idx="5">
                  <c:v>83.46800851090642</c:v>
                </c:pt>
                <c:pt idx="6">
                  <c:v>67.182925899401</c:v>
                </c:pt>
                <c:pt idx="7">
                  <c:v>45.77214941634924</c:v>
                </c:pt>
              </c:numCache>
            </c:numRef>
          </c:xVal>
          <c:yVal>
            <c:numRef>
              <c:f>'4010-375Kv'!$L$36:$L$43</c:f>
              <c:numCache>
                <c:formatCode>General</c:formatCode>
                <c:ptCount val="8"/>
                <c:pt idx="0">
                  <c:v>7.013979861725548</c:v>
                </c:pt>
                <c:pt idx="1">
                  <c:v>7.4722100026571</c:v>
                </c:pt>
                <c:pt idx="2">
                  <c:v>7.864940546416967</c:v>
                </c:pt>
                <c:pt idx="3">
                  <c:v>8.298142359545817</c:v>
                </c:pt>
                <c:pt idx="4">
                  <c:v>9.841481317469218</c:v>
                </c:pt>
                <c:pt idx="5">
                  <c:v>9.90380758678594</c:v>
                </c:pt>
                <c:pt idx="6">
                  <c:v>10.56673413456377</c:v>
                </c:pt>
                <c:pt idx="7">
                  <c:v>11.79421596831986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'4010-375Kv'!$F$55:$F$62</c:f>
              <c:numCache>
                <c:formatCode>General</c:formatCode>
                <c:ptCount val="8"/>
                <c:pt idx="0">
                  <c:v>258.5829796825066</c:v>
                </c:pt>
                <c:pt idx="1">
                  <c:v>180.3850342859777</c:v>
                </c:pt>
                <c:pt idx="2">
                  <c:v>154.044937041213</c:v>
                </c:pt>
                <c:pt idx="3">
                  <c:v>130.3511411739649</c:v>
                </c:pt>
                <c:pt idx="4">
                  <c:v>96.71657464163345</c:v>
                </c:pt>
                <c:pt idx="5">
                  <c:v>73.913125477204</c:v>
                </c:pt>
                <c:pt idx="6">
                  <c:v>59.55262288926361</c:v>
                </c:pt>
                <c:pt idx="7">
                  <c:v>51.90631113201595</c:v>
                </c:pt>
              </c:numCache>
            </c:numRef>
          </c:xVal>
          <c:yVal>
            <c:numRef>
              <c:f>'4010-375Kv'!$L$55:$L$62</c:f>
              <c:numCache>
                <c:formatCode>General</c:formatCode>
                <c:ptCount val="8"/>
                <c:pt idx="0">
                  <c:v>6.338587540084592</c:v>
                </c:pt>
                <c:pt idx="1">
                  <c:v>7.125681475221858</c:v>
                </c:pt>
                <c:pt idx="2">
                  <c:v>7.493938419165781</c:v>
                </c:pt>
                <c:pt idx="3">
                  <c:v>7.898930878760418</c:v>
                </c:pt>
                <c:pt idx="4">
                  <c:v>8.660987248760994</c:v>
                </c:pt>
                <c:pt idx="5">
                  <c:v>9.387169487570413</c:v>
                </c:pt>
                <c:pt idx="6">
                  <c:v>9.994663912350031</c:v>
                </c:pt>
                <c:pt idx="7">
                  <c:v>10.39055830444202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'4010-375Kv'!$F$73:$F$78</c:f>
              <c:numCache>
                <c:formatCode>General</c:formatCode>
                <c:ptCount val="6"/>
                <c:pt idx="0">
                  <c:v>176.6012488165092</c:v>
                </c:pt>
                <c:pt idx="1">
                  <c:v>99.6893652916208</c:v>
                </c:pt>
                <c:pt idx="2">
                  <c:v>78.72069079889811</c:v>
                </c:pt>
                <c:pt idx="3">
                  <c:v>60.85595612971093</c:v>
                </c:pt>
                <c:pt idx="4">
                  <c:v>45.88281931133819</c:v>
                </c:pt>
                <c:pt idx="5">
                  <c:v>41.92166972470257</c:v>
                </c:pt>
              </c:numCache>
            </c:numRef>
          </c:xVal>
          <c:yVal>
            <c:numRef>
              <c:f>'4010-375Kv'!$L$73:$L$78</c:f>
              <c:numCache>
                <c:formatCode>General</c:formatCode>
                <c:ptCount val="6"/>
                <c:pt idx="0">
                  <c:v>8.17369859828464</c:v>
                </c:pt>
                <c:pt idx="1">
                  <c:v>9.84799319213189</c:v>
                </c:pt>
                <c:pt idx="2">
                  <c:v>10.60875240857336</c:v>
                </c:pt>
                <c:pt idx="3">
                  <c:v>11.4817137823288</c:v>
                </c:pt>
                <c:pt idx="4">
                  <c:v>12.4871739767217</c:v>
                </c:pt>
                <c:pt idx="5">
                  <c:v>12.81781548507258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'4010-375Kv'!$F$89:$F$99</c:f>
              <c:numCache>
                <c:formatCode>General</c:formatCode>
                <c:ptCount val="11"/>
                <c:pt idx="0">
                  <c:v>213.3305296583387</c:v>
                </c:pt>
                <c:pt idx="1">
                  <c:v>208.0229031382452</c:v>
                </c:pt>
                <c:pt idx="2">
                  <c:v>182.7845442867826</c:v>
                </c:pt>
                <c:pt idx="3">
                  <c:v>159.6526694370836</c:v>
                </c:pt>
                <c:pt idx="4">
                  <c:v>138.5445743199151</c:v>
                </c:pt>
                <c:pt idx="5">
                  <c:v>119.3760816636301</c:v>
                </c:pt>
                <c:pt idx="6">
                  <c:v>96.73970228440669</c:v>
                </c:pt>
                <c:pt idx="7">
                  <c:v>86.51357711886597</c:v>
                </c:pt>
                <c:pt idx="8">
                  <c:v>72.64346115439163</c:v>
                </c:pt>
                <c:pt idx="9">
                  <c:v>60.36064744829942</c:v>
                </c:pt>
                <c:pt idx="10">
                  <c:v>52.44818380722531</c:v>
                </c:pt>
              </c:numCache>
            </c:numRef>
          </c:xVal>
          <c:yVal>
            <c:numRef>
              <c:f>'4010-375Kv'!$L$89:$L$99</c:f>
              <c:numCache>
                <c:formatCode>General</c:formatCode>
                <c:ptCount val="11"/>
                <c:pt idx="0">
                  <c:v>6.8003483228661</c:v>
                </c:pt>
                <c:pt idx="1">
                  <c:v>6.854731709050844</c:v>
                </c:pt>
                <c:pt idx="2">
                  <c:v>7.139135675645464</c:v>
                </c:pt>
                <c:pt idx="3">
                  <c:v>7.445937860065998</c:v>
                </c:pt>
                <c:pt idx="4">
                  <c:v>7.777481614280871</c:v>
                </c:pt>
                <c:pt idx="5">
                  <c:v>8.1363313038039</c:v>
                </c:pt>
                <c:pt idx="6">
                  <c:v>8.6606771929292</c:v>
                </c:pt>
                <c:pt idx="7">
                  <c:v>8.947115477167001</c:v>
                </c:pt>
                <c:pt idx="8">
                  <c:v>9.404815654461876</c:v>
                </c:pt>
                <c:pt idx="9">
                  <c:v>9.900951047721543</c:v>
                </c:pt>
                <c:pt idx="10">
                  <c:v>10.283059029698</c:v>
                </c:pt>
              </c:numCache>
            </c:numRef>
          </c:yVal>
          <c:smooth val="1"/>
        </c:ser>
        <c:axId val="731702792"/>
        <c:axId val="731633896"/>
      </c:scatterChart>
      <c:valAx>
        <c:axId val="731702792"/>
        <c:scaling>
          <c:orientation val="minMax"/>
        </c:scaling>
        <c:axPos val="b"/>
        <c:numFmt formatCode="General" sourceLinked="1"/>
        <c:tickLblPos val="nextTo"/>
        <c:crossAx val="731633896"/>
        <c:crosses val="autoZero"/>
        <c:crossBetween val="midCat"/>
      </c:valAx>
      <c:valAx>
        <c:axId val="731633896"/>
        <c:scaling>
          <c:orientation val="minMax"/>
        </c:scaling>
        <c:axPos val="l"/>
        <c:majorGridlines/>
        <c:numFmt formatCode="General" sourceLinked="1"/>
        <c:tickLblPos val="nextTo"/>
        <c:crossAx val="7317027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mécanique (grs/W)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'4010-375Kv'!$G$14:$G$24</c:f>
              <c:numCache>
                <c:formatCode>General</c:formatCode>
                <c:ptCount val="11"/>
                <c:pt idx="0">
                  <c:v>217.751969024074</c:v>
                </c:pt>
                <c:pt idx="1">
                  <c:v>194.9468348831791</c:v>
                </c:pt>
                <c:pt idx="2">
                  <c:v>161.9194181144006</c:v>
                </c:pt>
                <c:pt idx="3">
                  <c:v>139.8930001264267</c:v>
                </c:pt>
                <c:pt idx="4">
                  <c:v>119.8608031372874</c:v>
                </c:pt>
                <c:pt idx="5">
                  <c:v>110.5691344452845</c:v>
                </c:pt>
                <c:pt idx="6">
                  <c:v>101.7476158216611</c:v>
                </c:pt>
                <c:pt idx="7">
                  <c:v>93.71217135522106</c:v>
                </c:pt>
                <c:pt idx="8">
                  <c:v>78.00501854180087</c:v>
                </c:pt>
                <c:pt idx="9">
                  <c:v>64.34294881622262</c:v>
                </c:pt>
                <c:pt idx="10">
                  <c:v>54.70991350218754</c:v>
                </c:pt>
              </c:numCache>
            </c:numRef>
          </c:xVal>
          <c:yVal>
            <c:numRef>
              <c:f>'4010-375Kv'!$L$14:$L$24</c:f>
              <c:numCache>
                <c:formatCode>General</c:formatCode>
                <c:ptCount val="11"/>
                <c:pt idx="0">
                  <c:v>7.095097061402745</c:v>
                </c:pt>
                <c:pt idx="1">
                  <c:v>7.347211837286315</c:v>
                </c:pt>
                <c:pt idx="2">
                  <c:v>7.783799372116781</c:v>
                </c:pt>
                <c:pt idx="3">
                  <c:v>8.139296320308016</c:v>
                </c:pt>
                <c:pt idx="4">
                  <c:v>8.525610454812883</c:v>
                </c:pt>
                <c:pt idx="5">
                  <c:v>8.731409729855702</c:v>
                </c:pt>
                <c:pt idx="6">
                  <c:v>8.946259951770441</c:v>
                </c:pt>
                <c:pt idx="7">
                  <c:v>9.161488234006323</c:v>
                </c:pt>
                <c:pt idx="8">
                  <c:v>9.650123078622088</c:v>
                </c:pt>
                <c:pt idx="9">
                  <c:v>10.17401439389213</c:v>
                </c:pt>
                <c:pt idx="10">
                  <c:v>10.62202917306649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'4010-375Kv'!$G$36:$G$43</c:f>
              <c:numCache>
                <c:formatCode>General</c:formatCode>
                <c:ptCount val="8"/>
                <c:pt idx="0">
                  <c:v>214.7131477315075</c:v>
                </c:pt>
                <c:pt idx="1">
                  <c:v>176.8387465462325</c:v>
                </c:pt>
                <c:pt idx="2">
                  <c:v>150.7284143186181</c:v>
                </c:pt>
                <c:pt idx="3">
                  <c:v>127.1508268267129</c:v>
                </c:pt>
                <c:pt idx="4">
                  <c:v>72.21819127418734</c:v>
                </c:pt>
                <c:pt idx="5">
                  <c:v>70.66016845703372</c:v>
                </c:pt>
                <c:pt idx="6">
                  <c:v>56.23294663249512</c:v>
                </c:pt>
                <c:pt idx="7">
                  <c:v>37.29038560091069</c:v>
                </c:pt>
              </c:numCache>
            </c:numRef>
          </c:xVal>
          <c:yVal>
            <c:numRef>
              <c:f>'4010-375Kv'!$L$36:$L$43</c:f>
              <c:numCache>
                <c:formatCode>General</c:formatCode>
                <c:ptCount val="8"/>
                <c:pt idx="0">
                  <c:v>7.013979861725548</c:v>
                </c:pt>
                <c:pt idx="1">
                  <c:v>7.4722100026571</c:v>
                </c:pt>
                <c:pt idx="2">
                  <c:v>7.864940546416967</c:v>
                </c:pt>
                <c:pt idx="3">
                  <c:v>8.298142359545817</c:v>
                </c:pt>
                <c:pt idx="4">
                  <c:v>9.841481317469218</c:v>
                </c:pt>
                <c:pt idx="5">
                  <c:v>9.90380758678594</c:v>
                </c:pt>
                <c:pt idx="6">
                  <c:v>10.56673413456377</c:v>
                </c:pt>
                <c:pt idx="7">
                  <c:v>11.79421596831986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'4010-375Kv'!$G$55:$G$62</c:f>
              <c:numCache>
                <c:formatCode>General</c:formatCode>
                <c:ptCount val="8"/>
                <c:pt idx="0">
                  <c:v>225.976651016222</c:v>
                </c:pt>
                <c:pt idx="1">
                  <c:v>156.9333654649139</c:v>
                </c:pt>
                <c:pt idx="2">
                  <c:v>133.5707145768245</c:v>
                </c:pt>
                <c:pt idx="3">
                  <c:v>112.5122092493111</c:v>
                </c:pt>
                <c:pt idx="4">
                  <c:v>82.56146394334653</c:v>
                </c:pt>
                <c:pt idx="5">
                  <c:v>62.23852123437784</c:v>
                </c:pt>
                <c:pt idx="6">
                  <c:v>49.45139632608853</c:v>
                </c:pt>
                <c:pt idx="7">
                  <c:v>42.65436684451559</c:v>
                </c:pt>
              </c:numCache>
            </c:numRef>
          </c:xVal>
          <c:yVal>
            <c:numRef>
              <c:f>'4010-375Kv'!$L$55:$L$62</c:f>
              <c:numCache>
                <c:formatCode>General</c:formatCode>
                <c:ptCount val="8"/>
                <c:pt idx="0">
                  <c:v>6.338587540084592</c:v>
                </c:pt>
                <c:pt idx="1">
                  <c:v>7.125681475221858</c:v>
                </c:pt>
                <c:pt idx="2">
                  <c:v>7.493938419165781</c:v>
                </c:pt>
                <c:pt idx="3">
                  <c:v>7.898930878760418</c:v>
                </c:pt>
                <c:pt idx="4">
                  <c:v>8.660987248760994</c:v>
                </c:pt>
                <c:pt idx="5">
                  <c:v>9.387169487570413</c:v>
                </c:pt>
                <c:pt idx="6">
                  <c:v>9.994663912350031</c:v>
                </c:pt>
                <c:pt idx="7">
                  <c:v>10.39055830444202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'4010-375Kv'!$G$73:$G$78</c:f>
              <c:numCache>
                <c:formatCode>General</c:formatCode>
                <c:ptCount val="6"/>
                <c:pt idx="0">
                  <c:v>149.601038867623</c:v>
                </c:pt>
                <c:pt idx="1">
                  <c:v>83.90945126129</c:v>
                </c:pt>
                <c:pt idx="2">
                  <c:v>65.83333261312852</c:v>
                </c:pt>
                <c:pt idx="3">
                  <c:v>50.38261850573567</c:v>
                </c:pt>
                <c:pt idx="4">
                  <c:v>37.40997451612163</c:v>
                </c:pt>
                <c:pt idx="5">
                  <c:v>33.97777268339053</c:v>
                </c:pt>
              </c:numCache>
            </c:numRef>
          </c:xVal>
          <c:yVal>
            <c:numRef>
              <c:f>'4010-375Kv'!$L$73:$L$78</c:f>
              <c:numCache>
                <c:formatCode>General</c:formatCode>
                <c:ptCount val="6"/>
                <c:pt idx="0">
                  <c:v>8.17369859828464</c:v>
                </c:pt>
                <c:pt idx="1">
                  <c:v>9.84799319213189</c:v>
                </c:pt>
                <c:pt idx="2">
                  <c:v>10.60875240857336</c:v>
                </c:pt>
                <c:pt idx="3">
                  <c:v>11.4817137823288</c:v>
                </c:pt>
                <c:pt idx="4">
                  <c:v>12.4871739767217</c:v>
                </c:pt>
                <c:pt idx="5">
                  <c:v>12.81781548507258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'4010-375Kv'!$G$89:$G$99</c:f>
              <c:numCache>
                <c:formatCode>General</c:formatCode>
                <c:ptCount val="11"/>
                <c:pt idx="0">
                  <c:v>188.4092813856324</c:v>
                </c:pt>
                <c:pt idx="1">
                  <c:v>183.6024447255229</c:v>
                </c:pt>
                <c:pt idx="2">
                  <c:v>160.732498967365</c:v>
                </c:pt>
                <c:pt idx="3">
                  <c:v>139.7556665906611</c:v>
                </c:pt>
                <c:pt idx="4">
                  <c:v>120.6059715938317</c:v>
                </c:pt>
                <c:pt idx="5">
                  <c:v>103.2155079486707</c:v>
                </c:pt>
                <c:pt idx="6">
                  <c:v>82.69151241341574</c:v>
                </c:pt>
                <c:pt idx="7">
                  <c:v>73.4305880412677</c:v>
                </c:pt>
                <c:pt idx="8">
                  <c:v>60.89004029241204</c:v>
                </c:pt>
                <c:pt idx="9">
                  <c:v>49.81638879971354</c:v>
                </c:pt>
                <c:pt idx="10">
                  <c:v>42.7076044987406</c:v>
                </c:pt>
              </c:numCache>
            </c:numRef>
          </c:xVal>
          <c:yVal>
            <c:numRef>
              <c:f>'4010-375Kv'!$L$89:$L$99</c:f>
              <c:numCache>
                <c:formatCode>General</c:formatCode>
                <c:ptCount val="11"/>
                <c:pt idx="0">
                  <c:v>6.8003483228661</c:v>
                </c:pt>
                <c:pt idx="1">
                  <c:v>6.854731709050844</c:v>
                </c:pt>
                <c:pt idx="2">
                  <c:v>7.139135675645464</c:v>
                </c:pt>
                <c:pt idx="3">
                  <c:v>7.445937860065998</c:v>
                </c:pt>
                <c:pt idx="4">
                  <c:v>7.777481614280871</c:v>
                </c:pt>
                <c:pt idx="5">
                  <c:v>8.1363313038039</c:v>
                </c:pt>
                <c:pt idx="6">
                  <c:v>8.6606771929292</c:v>
                </c:pt>
                <c:pt idx="7">
                  <c:v>8.947115477167001</c:v>
                </c:pt>
                <c:pt idx="8">
                  <c:v>9.404815654461876</c:v>
                </c:pt>
                <c:pt idx="9">
                  <c:v>9.900951047721543</c:v>
                </c:pt>
                <c:pt idx="10">
                  <c:v>10.283059029698</c:v>
                </c:pt>
              </c:numCache>
            </c:numRef>
          </c:yVal>
          <c:smooth val="1"/>
        </c:ser>
        <c:axId val="731620664"/>
        <c:axId val="731615560"/>
      </c:scatterChart>
      <c:valAx>
        <c:axId val="731620664"/>
        <c:scaling>
          <c:orientation val="minMax"/>
        </c:scaling>
        <c:axPos val="b"/>
        <c:numFmt formatCode="General" sourceLinked="1"/>
        <c:tickLblPos val="nextTo"/>
        <c:crossAx val="731615560"/>
        <c:crosses val="autoZero"/>
        <c:crossBetween val="midCat"/>
      </c:valAx>
      <c:valAx>
        <c:axId val="731615560"/>
        <c:scaling>
          <c:orientation val="minMax"/>
        </c:scaling>
        <c:axPos val="l"/>
        <c:majorGridlines/>
        <c:numFmt formatCode="General" sourceLinked="1"/>
        <c:tickLblPos val="nextTo"/>
        <c:crossAx val="73162066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Traction/courant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'4010-375Kv'!$E$14:$E$24</c:f>
              <c:numCache>
                <c:formatCode>General</c:formatCode>
                <c:ptCount val="11"/>
                <c:pt idx="0">
                  <c:v>11.11396978984584</c:v>
                </c:pt>
                <c:pt idx="1">
                  <c:v>10.36643633264824</c:v>
                </c:pt>
                <c:pt idx="2">
                  <c:v>9.229612349718921</c:v>
                </c:pt>
                <c:pt idx="3">
                  <c:v>8.428093188201139</c:v>
                </c:pt>
                <c:pt idx="4">
                  <c:v>7.661713922735183</c:v>
                </c:pt>
                <c:pt idx="5">
                  <c:v>7.291876810511799</c:v>
                </c:pt>
                <c:pt idx="6">
                  <c:v>6.931036615633922</c:v>
                </c:pt>
                <c:pt idx="7">
                  <c:v>6.593161737190012</c:v>
                </c:pt>
                <c:pt idx="8">
                  <c:v>5.903228751552156</c:v>
                </c:pt>
                <c:pt idx="9">
                  <c:v>5.264366182770461</c:v>
                </c:pt>
                <c:pt idx="10">
                  <c:v>4.786354642708051</c:v>
                </c:pt>
              </c:numCache>
            </c:numRef>
          </c:xVal>
          <c:yVal>
            <c:numRef>
              <c:f>'4010-375Kv'!$K$14:$K$24</c:f>
              <c:numCache>
                <c:formatCode>General</c:formatCode>
                <c:ptCount val="11"/>
                <c:pt idx="0">
                  <c:v>1750.57421560128</c:v>
                </c:pt>
                <c:pt idx="1">
                  <c:v>1626.110019714668</c:v>
                </c:pt>
                <c:pt idx="2">
                  <c:v>1436.829016252469</c:v>
                </c:pt>
                <c:pt idx="3">
                  <c:v>1303.376209604833</c:v>
                </c:pt>
                <c:pt idx="4">
                  <c:v>1175.774189786217</c:v>
                </c:pt>
                <c:pt idx="5">
                  <c:v>1114.196372313708</c:v>
                </c:pt>
                <c:pt idx="6">
                  <c:v>1054.116540077905</c:v>
                </c:pt>
                <c:pt idx="7">
                  <c:v>997.8604291963586</c:v>
                </c:pt>
                <c:pt idx="8">
                  <c:v>882.9867022129534</c:v>
                </c:pt>
                <c:pt idx="9">
                  <c:v>776.6161911142723</c:v>
                </c:pt>
                <c:pt idx="10">
                  <c:v>697.0273494570492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'4010-375Kv'!$E$36:$E$43</c:f>
              <c:numCache>
                <c:formatCode>General</c:formatCode>
                <c:ptCount val="8"/>
                <c:pt idx="0">
                  <c:v>12.81119777641341</c:v>
                </c:pt>
                <c:pt idx="1">
                  <c:v>11.3292852423624</c:v>
                </c:pt>
                <c:pt idx="2">
                  <c:v>10.24530413394402</c:v>
                </c:pt>
                <c:pt idx="3">
                  <c:v>9.211232168843434</c:v>
                </c:pt>
                <c:pt idx="4">
                  <c:v>6.50586584529989</c:v>
                </c:pt>
                <c:pt idx="5">
                  <c:v>6.420616039300493</c:v>
                </c:pt>
                <c:pt idx="6">
                  <c:v>5.598577158283417</c:v>
                </c:pt>
                <c:pt idx="7">
                  <c:v>4.401168213110503</c:v>
                </c:pt>
              </c:numCache>
            </c:numRef>
          </c:xVal>
          <c:yVal>
            <c:numRef>
              <c:f>'4010-375Kv'!$K$36:$K$43</c:f>
              <c:numCache>
                <c:formatCode>General</c:formatCode>
                <c:ptCount val="8"/>
                <c:pt idx="0">
                  <c:v>1734.249425921093</c:v>
                </c:pt>
                <c:pt idx="1">
                  <c:v>1523.786373196844</c:v>
                </c:pt>
                <c:pt idx="2">
                  <c:v>1369.838034188305</c:v>
                </c:pt>
                <c:pt idx="3">
                  <c:v>1222.977853502253</c:v>
                </c:pt>
                <c:pt idx="4">
                  <c:v>838.7583789332874</c:v>
                </c:pt>
                <c:pt idx="5">
                  <c:v>826.6510959442284</c:v>
                </c:pt>
                <c:pt idx="6">
                  <c:v>709.9041163610689</c:v>
                </c:pt>
                <c:pt idx="7">
                  <c:v>539.8466155506287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'4010-375Kv'!$E$55:$E$62</c:f>
              <c:numCache>
                <c:formatCode>General</c:formatCode>
                <c:ptCount val="8"/>
                <c:pt idx="0">
                  <c:v>12.61380388695154</c:v>
                </c:pt>
                <c:pt idx="1">
                  <c:v>10.02139079366543</c:v>
                </c:pt>
                <c:pt idx="2">
                  <c:v>9.06146688477723</c:v>
                </c:pt>
                <c:pt idx="3">
                  <c:v>8.146946323372804</c:v>
                </c:pt>
                <c:pt idx="4">
                  <c:v>6.739830985479683</c:v>
                </c:pt>
                <c:pt idx="5">
                  <c:v>5.685625036707999</c:v>
                </c:pt>
                <c:pt idx="6">
                  <c:v>4.962718574105301</c:v>
                </c:pt>
                <c:pt idx="7">
                  <c:v>4.553185187018943</c:v>
                </c:pt>
              </c:numCache>
            </c:numRef>
          </c:xVal>
          <c:yVal>
            <c:numRef>
              <c:f>'4010-375Kv'!$K$55:$K$62</c:f>
              <c:numCache>
                <c:formatCode>General</c:formatCode>
                <c:ptCount val="8"/>
                <c:pt idx="0">
                  <c:v>1639.050853093483</c:v>
                </c:pt>
                <c:pt idx="1">
                  <c:v>1285.366297218851</c:v>
                </c:pt>
                <c:pt idx="2">
                  <c:v>1154.40327197112</c:v>
                </c:pt>
                <c:pt idx="3">
                  <c:v>1029.63465410069</c:v>
                </c:pt>
                <c:pt idx="4">
                  <c:v>837.6610197150284</c:v>
                </c:pt>
                <c:pt idx="5">
                  <c:v>693.8350362105726</c:v>
                </c:pt>
                <c:pt idx="6">
                  <c:v>595.2084508771134</c:v>
                </c:pt>
                <c:pt idx="7">
                  <c:v>539.3355521857194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'4010-375Kv'!$E$73:$E$78</c:f>
              <c:numCache>
                <c:formatCode>General</c:formatCode>
                <c:ptCount val="6"/>
                <c:pt idx="0">
                  <c:v>11.9325168119263</c:v>
                </c:pt>
                <c:pt idx="1">
                  <c:v>8.307447107635066</c:v>
                </c:pt>
                <c:pt idx="2">
                  <c:v>7.156426436263466</c:v>
                </c:pt>
                <c:pt idx="3">
                  <c:v>6.085595612971093</c:v>
                </c:pt>
                <c:pt idx="4">
                  <c:v>5.098091034593132</c:v>
                </c:pt>
                <c:pt idx="5">
                  <c:v>4.818582726977307</c:v>
                </c:pt>
              </c:numCache>
            </c:numRef>
          </c:xVal>
          <c:yVal>
            <c:numRef>
              <c:f>'4010-375Kv'!$K$73:$K$78</c:f>
              <c:numCache>
                <c:formatCode>General</c:formatCode>
                <c:ptCount val="6"/>
                <c:pt idx="0">
                  <c:v>1443.485379906819</c:v>
                </c:pt>
                <c:pt idx="1">
                  <c:v>981.7401907198307</c:v>
                </c:pt>
                <c:pt idx="2">
                  <c:v>835.1283181173688</c:v>
                </c:pt>
                <c:pt idx="3">
                  <c:v>698.7306702312986</c:v>
                </c:pt>
                <c:pt idx="4">
                  <c:v>572.9467472831657</c:v>
                </c:pt>
                <c:pt idx="5">
                  <c:v>537.3442273573911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'4010-375Kv'!$E$89:$E$99</c:f>
              <c:numCache>
                <c:formatCode>General</c:formatCode>
                <c:ptCount val="11"/>
                <c:pt idx="0">
                  <c:v>9.609483317943185</c:v>
                </c:pt>
                <c:pt idx="1">
                  <c:v>9.45558650628387</c:v>
                </c:pt>
                <c:pt idx="2">
                  <c:v>8.704025918418221</c:v>
                </c:pt>
                <c:pt idx="3">
                  <c:v>7.98263347185418</c:v>
                </c:pt>
                <c:pt idx="4">
                  <c:v>7.291819701048161</c:v>
                </c:pt>
                <c:pt idx="5">
                  <c:v>6.632004536868338</c:v>
                </c:pt>
                <c:pt idx="6">
                  <c:v>5.803221492765847</c:v>
                </c:pt>
                <c:pt idx="7">
                  <c:v>5.407098569929123</c:v>
                </c:pt>
                <c:pt idx="8">
                  <c:v>4.842897410292775</c:v>
                </c:pt>
                <c:pt idx="9">
                  <c:v>4.311474817735672</c:v>
                </c:pt>
                <c:pt idx="10">
                  <c:v>3.949411431266967</c:v>
                </c:pt>
              </c:numCache>
            </c:numRef>
          </c:xVal>
          <c:yVal>
            <c:numRef>
              <c:f>'4010-375Kv'!$K$89:$K$99</c:f>
              <c:numCache>
                <c:formatCode>General</c:formatCode>
                <c:ptCount val="11"/>
                <c:pt idx="0">
                  <c:v>1450.721909578221</c:v>
                </c:pt>
                <c:pt idx="1">
                  <c:v>1425.941190350542</c:v>
                </c:pt>
                <c:pt idx="2">
                  <c:v>1304.923661074368</c:v>
                </c:pt>
                <c:pt idx="3">
                  <c:v>1188.763855822182</c:v>
                </c:pt>
                <c:pt idx="4">
                  <c:v>1077.527879531509</c:v>
                </c:pt>
                <c:pt idx="5">
                  <c:v>971.283350165244</c:v>
                </c:pt>
                <c:pt idx="6">
                  <c:v>837.8313332253217</c:v>
                </c:pt>
                <c:pt idx="7">
                  <c:v>774.0469648252866</c:v>
                </c:pt>
                <c:pt idx="8">
                  <c:v>683.1983606591155</c:v>
                </c:pt>
                <c:pt idx="9">
                  <c:v>597.6278155943908</c:v>
                </c:pt>
                <c:pt idx="10">
                  <c:v>539.3277700901486</c:v>
                </c:pt>
              </c:numCache>
            </c:numRef>
          </c:yVal>
          <c:smooth val="1"/>
        </c:ser>
        <c:axId val="731583144"/>
        <c:axId val="731572792"/>
      </c:scatterChart>
      <c:valAx>
        <c:axId val="731583144"/>
        <c:scaling>
          <c:orientation val="minMax"/>
        </c:scaling>
        <c:axPos val="b"/>
        <c:numFmt formatCode="General" sourceLinked="1"/>
        <c:tickLblPos val="nextTo"/>
        <c:crossAx val="731572792"/>
        <c:crosses val="autoZero"/>
        <c:crossBetween val="midCat"/>
      </c:valAx>
      <c:valAx>
        <c:axId val="731572792"/>
        <c:scaling>
          <c:orientation val="minMax"/>
        </c:scaling>
        <c:axPos val="l"/>
        <c:majorGridlines/>
        <c:numFmt formatCode="General" sourceLinked="1"/>
        <c:tickLblPos val="nextTo"/>
        <c:crossAx val="7315831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8"/>
  <c:chart>
    <c:title>
      <c:tx>
        <c:rich>
          <a:bodyPr/>
          <a:lstStyle/>
          <a:p>
            <a:pPr>
              <a:defRPr/>
            </a:pPr>
            <a:r>
              <a:rPr lang="fr-FR"/>
              <a:t>coef adapt - traction/puissance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traction</c:v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xVal>
            <c:numRef>
              <c:f>'5017-620Kv'!$S$60:$S$65</c:f>
              <c:numCache>
                <c:formatCode>General</c:formatCode>
                <c:ptCount val="6"/>
                <c:pt idx="0">
                  <c:v>43.5</c:v>
                </c:pt>
                <c:pt idx="1">
                  <c:v>64.0</c:v>
                </c:pt>
                <c:pt idx="2">
                  <c:v>105.0</c:v>
                </c:pt>
                <c:pt idx="3">
                  <c:v>132.0</c:v>
                </c:pt>
                <c:pt idx="4">
                  <c:v>212.0</c:v>
                </c:pt>
                <c:pt idx="5">
                  <c:v>290.0</c:v>
                </c:pt>
              </c:numCache>
            </c:numRef>
          </c:xVal>
          <c:yVal>
            <c:numRef>
              <c:f>'5017-620Kv'!$Q$60:$Q$65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1480.0</c:v>
                </c:pt>
                <c:pt idx="5">
                  <c:v>1800.0</c:v>
                </c:pt>
              </c:numCache>
            </c:numRef>
          </c:yVal>
          <c:smooth val="1"/>
        </c:ser>
        <c:ser>
          <c:idx val="1"/>
          <c:order val="1"/>
          <c:tx>
            <c:v>traction calculée</c:v>
          </c:tx>
          <c:spPr>
            <a:ln>
              <a:solidFill>
                <a:srgbClr val="3366FF"/>
              </a:solidFill>
            </a:ln>
          </c:spPr>
          <c:marker>
            <c:symbol val="dot"/>
            <c:size val="7"/>
          </c:marker>
          <c:xVal>
            <c:numRef>
              <c:f>'5017-620Kv'!$F$50:$F$76</c:f>
              <c:numCache>
                <c:formatCode>General</c:formatCode>
                <c:ptCount val="27"/>
                <c:pt idx="0">
                  <c:v>284.6353610876704</c:v>
                </c:pt>
                <c:pt idx="1">
                  <c:v>269.5308625225164</c:v>
                </c:pt>
                <c:pt idx="2">
                  <c:v>245.4989639349141</c:v>
                </c:pt>
                <c:pt idx="3">
                  <c:v>222.868373899349</c:v>
                </c:pt>
                <c:pt idx="4">
                  <c:v>212.068803971803</c:v>
                </c:pt>
                <c:pt idx="5">
                  <c:v>201.6077349693834</c:v>
                </c:pt>
                <c:pt idx="6">
                  <c:v>191.4811107821238</c:v>
                </c:pt>
                <c:pt idx="7">
                  <c:v>181.6848184029952</c:v>
                </c:pt>
                <c:pt idx="8">
                  <c:v>172.2146866416192</c:v>
                </c:pt>
                <c:pt idx="9">
                  <c:v>163.0664847980997</c:v>
                </c:pt>
                <c:pt idx="10">
                  <c:v>154.23592129541</c:v>
                </c:pt>
                <c:pt idx="11">
                  <c:v>145.7186422687005</c:v>
                </c:pt>
                <c:pt idx="12">
                  <c:v>137.5102301097814</c:v>
                </c:pt>
                <c:pt idx="13">
                  <c:v>129.6062019650092</c:v>
                </c:pt>
                <c:pt idx="14">
                  <c:v>122.0020081846479</c:v>
                </c:pt>
                <c:pt idx="15">
                  <c:v>114.6930307217353</c:v>
                </c:pt>
                <c:pt idx="16">
                  <c:v>107.6745814783691</c:v>
                </c:pt>
                <c:pt idx="17">
                  <c:v>100.941900597219</c:v>
                </c:pt>
                <c:pt idx="18">
                  <c:v>94.4901546959603</c:v>
                </c:pt>
                <c:pt idx="19">
                  <c:v>88.31443504220385</c:v>
                </c:pt>
                <c:pt idx="20">
                  <c:v>82.40975566641272</c:v>
                </c:pt>
                <c:pt idx="21">
                  <c:v>76.77105141008084</c:v>
                </c:pt>
                <c:pt idx="22">
                  <c:v>71.39317590640228</c:v>
                </c:pt>
                <c:pt idx="23">
                  <c:v>66.27089949044308</c:v>
                </c:pt>
                <c:pt idx="24">
                  <c:v>61.39890703571211</c:v>
                </c:pt>
                <c:pt idx="25">
                  <c:v>56.77179571382452</c:v>
                </c:pt>
                <c:pt idx="26">
                  <c:v>52.38407267381355</c:v>
                </c:pt>
              </c:numCache>
            </c:numRef>
          </c:xVal>
          <c:yVal>
            <c:numRef>
              <c:f>'5017-620Kv'!$K$50:$K$76</c:f>
              <c:numCache>
                <c:formatCode>General</c:formatCode>
                <c:ptCount val="27"/>
                <c:pt idx="0">
                  <c:v>1805.863802420961</c:v>
                </c:pt>
                <c:pt idx="1">
                  <c:v>1741.031219977824</c:v>
                </c:pt>
                <c:pt idx="2">
                  <c:v>1635.01899051155</c:v>
                </c:pt>
                <c:pt idx="3">
                  <c:v>1531.607302594019</c:v>
                </c:pt>
                <c:pt idx="4">
                  <c:v>1480.894439232919</c:v>
                </c:pt>
                <c:pt idx="5">
                  <c:v>1430.853305734003</c:v>
                </c:pt>
                <c:pt idx="6">
                  <c:v>1381.491378539223</c:v>
                </c:pt>
                <c:pt idx="7">
                  <c:v>1332.816273817946</c:v>
                </c:pt>
                <c:pt idx="8">
                  <c:v>1284.835751150406</c:v>
                </c:pt>
                <c:pt idx="9">
                  <c:v>1237.55771733699</c:v>
                </c:pt>
                <c:pt idx="10">
                  <c:v>1190.990230338604</c:v>
                </c:pt>
                <c:pt idx="11">
                  <c:v>1145.141503353661</c:v>
                </c:pt>
                <c:pt idx="12">
                  <c:v>1100.019909037584</c:v>
                </c:pt>
                <c:pt idx="13">
                  <c:v>1055.633983870883</c:v>
                </c:pt>
                <c:pt idx="14">
                  <c:v>1011.992432682317</c:v>
                </c:pt>
                <c:pt idx="15">
                  <c:v>969.104133333893</c:v>
                </c:pt>
                <c:pt idx="16">
                  <c:v>926.9781415748386</c:v>
                </c:pt>
                <c:pt idx="17">
                  <c:v>885.6236960720532</c:v>
                </c:pt>
                <c:pt idx="18">
                  <c:v>845.0502236249579</c:v>
                </c:pt>
                <c:pt idx="19">
                  <c:v>805.267344573086</c:v>
                </c:pt>
                <c:pt idx="20">
                  <c:v>766.2848784051192</c:v>
                </c:pt>
                <c:pt idx="21">
                  <c:v>728.1128495787298</c:v>
                </c:pt>
                <c:pt idx="22">
                  <c:v>690.761493560902</c:v>
                </c:pt>
                <c:pt idx="23">
                  <c:v>654.2412630990729</c:v>
                </c:pt>
                <c:pt idx="24">
                  <c:v>618.5628347339494</c:v>
                </c:pt>
                <c:pt idx="25">
                  <c:v>583.7371155655007</c:v>
                </c:pt>
                <c:pt idx="26">
                  <c:v>549.775250284231</c:v>
                </c:pt>
              </c:numCache>
            </c:numRef>
          </c:yVal>
          <c:smooth val="1"/>
        </c:ser>
        <c:axId val="780695080"/>
        <c:axId val="780698152"/>
      </c:scatterChart>
      <c:valAx>
        <c:axId val="780695080"/>
        <c:scaling>
          <c:orientation val="minMax"/>
        </c:scaling>
        <c:axPos val="b"/>
        <c:numFmt formatCode="General" sourceLinked="1"/>
        <c:tickLblPos val="nextTo"/>
        <c:crossAx val="780698152"/>
        <c:crosses val="autoZero"/>
        <c:crossBetween val="midCat"/>
      </c:valAx>
      <c:valAx>
        <c:axId val="780698152"/>
        <c:scaling>
          <c:orientation val="minMax"/>
        </c:scaling>
        <c:axPos val="l"/>
        <c:majorGridlines/>
        <c:numFmt formatCode="General" sourceLinked="1"/>
        <c:tickLblPos val="nextTo"/>
        <c:crossAx val="7806950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rendement Turnigy 4010-375Kv/traction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'4010-375Kv'!$K$14:$K$24</c:f>
              <c:numCache>
                <c:formatCode>General</c:formatCode>
                <c:ptCount val="11"/>
                <c:pt idx="0">
                  <c:v>1750.57421560128</c:v>
                </c:pt>
                <c:pt idx="1">
                  <c:v>1626.110019714668</c:v>
                </c:pt>
                <c:pt idx="2">
                  <c:v>1436.829016252469</c:v>
                </c:pt>
                <c:pt idx="3">
                  <c:v>1303.376209604833</c:v>
                </c:pt>
                <c:pt idx="4">
                  <c:v>1175.774189786217</c:v>
                </c:pt>
                <c:pt idx="5">
                  <c:v>1114.196372313708</c:v>
                </c:pt>
                <c:pt idx="6">
                  <c:v>1054.116540077905</c:v>
                </c:pt>
                <c:pt idx="7">
                  <c:v>997.8604291963586</c:v>
                </c:pt>
                <c:pt idx="8">
                  <c:v>882.9867022129534</c:v>
                </c:pt>
                <c:pt idx="9">
                  <c:v>776.6161911142723</c:v>
                </c:pt>
                <c:pt idx="10">
                  <c:v>697.0273494570492</c:v>
                </c:pt>
              </c:numCache>
            </c:numRef>
          </c:xVal>
          <c:yVal>
            <c:numRef>
              <c:f>'4010-375Kv'!$H$14:$H$24</c:f>
              <c:numCache>
                <c:formatCode>General</c:formatCode>
                <c:ptCount val="11"/>
                <c:pt idx="0">
                  <c:v>88.25511890718143</c:v>
                </c:pt>
                <c:pt idx="1">
                  <c:v>88.08233609842223</c:v>
                </c:pt>
                <c:pt idx="2">
                  <c:v>87.71734498650513</c:v>
                </c:pt>
                <c:pt idx="3">
                  <c:v>87.36008627248854</c:v>
                </c:pt>
                <c:pt idx="4">
                  <c:v>86.9118003462322</c:v>
                </c:pt>
                <c:pt idx="5">
                  <c:v>86.64760003773017</c:v>
                </c:pt>
                <c:pt idx="6">
                  <c:v>86.35293973721137</c:v>
                </c:pt>
                <c:pt idx="7">
                  <c:v>86.03838073281273</c:v>
                </c:pt>
                <c:pt idx="8">
                  <c:v>85.25134385285803</c:v>
                </c:pt>
                <c:pt idx="9">
                  <c:v>84.29209883745411</c:v>
                </c:pt>
                <c:pt idx="10">
                  <c:v>83.37266790590828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'4010-375Kv'!$K$36:$K$43</c:f>
              <c:numCache>
                <c:formatCode>General</c:formatCode>
                <c:ptCount val="8"/>
                <c:pt idx="0">
                  <c:v>1734.249425921093</c:v>
                </c:pt>
                <c:pt idx="1">
                  <c:v>1523.786373196844</c:v>
                </c:pt>
                <c:pt idx="2">
                  <c:v>1369.838034188305</c:v>
                </c:pt>
                <c:pt idx="3">
                  <c:v>1222.977853502253</c:v>
                </c:pt>
                <c:pt idx="4">
                  <c:v>838.7583789332874</c:v>
                </c:pt>
                <c:pt idx="5">
                  <c:v>826.6510959442284</c:v>
                </c:pt>
                <c:pt idx="6">
                  <c:v>709.9041163610689</c:v>
                </c:pt>
                <c:pt idx="7">
                  <c:v>539.8466155506287</c:v>
                </c:pt>
              </c:numCache>
            </c:numRef>
          </c:xVal>
          <c:yVal>
            <c:numRef>
              <c:f>'4010-375Kv'!$H$36:$H$43</c:f>
              <c:numCache>
                <c:formatCode>General</c:formatCode>
                <c:ptCount val="8"/>
                <c:pt idx="0">
                  <c:v>86.8383562206823</c:v>
                </c:pt>
                <c:pt idx="1">
                  <c:v>86.71663390898467</c:v>
                </c:pt>
                <c:pt idx="2">
                  <c:v>86.54088933762765</c:v>
                </c:pt>
                <c:pt idx="3">
                  <c:v>86.27430653142876</c:v>
                </c:pt>
                <c:pt idx="4">
                  <c:v>84.73643877158374</c:v>
                </c:pt>
                <c:pt idx="5">
                  <c:v>84.65539039163832</c:v>
                </c:pt>
                <c:pt idx="6">
                  <c:v>83.70124682675734</c:v>
                </c:pt>
                <c:pt idx="7">
                  <c:v>81.469596854001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'4010-375Kv'!$K$55:$K$62</c:f>
              <c:numCache>
                <c:formatCode>General</c:formatCode>
                <c:ptCount val="8"/>
                <c:pt idx="0">
                  <c:v>1639.050853093483</c:v>
                </c:pt>
                <c:pt idx="1">
                  <c:v>1285.366297218851</c:v>
                </c:pt>
                <c:pt idx="2">
                  <c:v>1154.40327197112</c:v>
                </c:pt>
                <c:pt idx="3">
                  <c:v>1029.63465410069</c:v>
                </c:pt>
                <c:pt idx="4">
                  <c:v>837.6610197150284</c:v>
                </c:pt>
                <c:pt idx="5">
                  <c:v>693.8350362105726</c:v>
                </c:pt>
                <c:pt idx="6">
                  <c:v>595.2084508771134</c:v>
                </c:pt>
                <c:pt idx="7">
                  <c:v>539.3355521857194</c:v>
                </c:pt>
              </c:numCache>
            </c:numRef>
          </c:xVal>
          <c:yVal>
            <c:numRef>
              <c:f>'4010-375Kv'!$H$55:$H$62</c:f>
              <c:numCache>
                <c:formatCode>General</c:formatCode>
                <c:ptCount val="8"/>
                <c:pt idx="0">
                  <c:v>87.39038094992976</c:v>
                </c:pt>
                <c:pt idx="1">
                  <c:v>86.99910504555262</c:v>
                </c:pt>
                <c:pt idx="2">
                  <c:v>86.70892866870995</c:v>
                </c:pt>
                <c:pt idx="3">
                  <c:v>86.31470981842331</c:v>
                </c:pt>
                <c:pt idx="4">
                  <c:v>85.36433827321093</c:v>
                </c:pt>
                <c:pt idx="5">
                  <c:v>84.20496472385437</c:v>
                </c:pt>
                <c:pt idx="6">
                  <c:v>83.03815000397545</c:v>
                </c:pt>
                <c:pt idx="7">
                  <c:v>82.17568521875994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'4010-375Kv'!$K$73:$K$78</c:f>
              <c:numCache>
                <c:formatCode>General</c:formatCode>
                <c:ptCount val="6"/>
                <c:pt idx="0">
                  <c:v>1443.485379906819</c:v>
                </c:pt>
                <c:pt idx="1">
                  <c:v>981.7401907198307</c:v>
                </c:pt>
                <c:pt idx="2">
                  <c:v>835.1283181173688</c:v>
                </c:pt>
                <c:pt idx="3">
                  <c:v>698.7306702312986</c:v>
                </c:pt>
                <c:pt idx="4">
                  <c:v>572.9467472831657</c:v>
                </c:pt>
                <c:pt idx="5">
                  <c:v>537.3442273573911</c:v>
                </c:pt>
              </c:numCache>
            </c:numRef>
          </c:xVal>
          <c:yVal>
            <c:numRef>
              <c:f>'4010-375Kv'!$H$73:$H$78</c:f>
              <c:numCache>
                <c:formatCode>General</c:formatCode>
                <c:ptCount val="6"/>
                <c:pt idx="0">
                  <c:v>84.7112010080179</c:v>
                </c:pt>
                <c:pt idx="1">
                  <c:v>84.17091533869245</c:v>
                </c:pt>
                <c:pt idx="2">
                  <c:v>83.62900775516316</c:v>
                </c:pt>
                <c:pt idx="3">
                  <c:v>82.7899546896413</c:v>
                </c:pt>
                <c:pt idx="4">
                  <c:v>81.53373109502272</c:v>
                </c:pt>
                <c:pt idx="5">
                  <c:v>81.05061870512506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'4010-375Kv'!$K$89:$K$99</c:f>
              <c:numCache>
                <c:formatCode>General</c:formatCode>
                <c:ptCount val="11"/>
                <c:pt idx="0">
                  <c:v>1450.721909578221</c:v>
                </c:pt>
                <c:pt idx="1">
                  <c:v>1425.941190350542</c:v>
                </c:pt>
                <c:pt idx="2">
                  <c:v>1304.923661074368</c:v>
                </c:pt>
                <c:pt idx="3">
                  <c:v>1188.763855822182</c:v>
                </c:pt>
                <c:pt idx="4">
                  <c:v>1077.527879531509</c:v>
                </c:pt>
                <c:pt idx="5">
                  <c:v>971.283350165244</c:v>
                </c:pt>
                <c:pt idx="6">
                  <c:v>837.8313332253217</c:v>
                </c:pt>
                <c:pt idx="7">
                  <c:v>774.0469648252866</c:v>
                </c:pt>
                <c:pt idx="8">
                  <c:v>683.1983606591155</c:v>
                </c:pt>
                <c:pt idx="9">
                  <c:v>597.6278155943908</c:v>
                </c:pt>
                <c:pt idx="10">
                  <c:v>539.3277700901486</c:v>
                </c:pt>
              </c:numCache>
            </c:numRef>
          </c:xVal>
          <c:yVal>
            <c:numRef>
              <c:f>'4010-375Kv'!$H$89:$H$99</c:f>
              <c:numCache>
                <c:formatCode>General</c:formatCode>
                <c:ptCount val="11"/>
                <c:pt idx="0">
                  <c:v>88.31801134482758</c:v>
                </c:pt>
                <c:pt idx="1">
                  <c:v>88.26068762414432</c:v>
                </c:pt>
                <c:pt idx="2">
                  <c:v>87.93549782588906</c:v>
                </c:pt>
                <c:pt idx="3">
                  <c:v>87.53731903351384</c:v>
                </c:pt>
                <c:pt idx="4">
                  <c:v>87.05210737111864</c:v>
                </c:pt>
                <c:pt idx="5">
                  <c:v>86.4624692905438</c:v>
                </c:pt>
                <c:pt idx="6">
                  <c:v>85.4783614800773</c:v>
                </c:pt>
                <c:pt idx="7">
                  <c:v>84.87753077228238</c:v>
                </c:pt>
                <c:pt idx="8">
                  <c:v>83.82040079698343</c:v>
                </c:pt>
                <c:pt idx="9">
                  <c:v>82.53123666770252</c:v>
                </c:pt>
                <c:pt idx="10">
                  <c:v>81.4281856845864</c:v>
                </c:pt>
              </c:numCache>
            </c:numRef>
          </c:yVal>
          <c:smooth val="1"/>
        </c:ser>
        <c:axId val="731533592"/>
        <c:axId val="731527320"/>
      </c:scatterChart>
      <c:valAx>
        <c:axId val="731533592"/>
        <c:scaling>
          <c:orientation val="minMax"/>
        </c:scaling>
        <c:axPos val="b"/>
        <c:numFmt formatCode="General" sourceLinked="1"/>
        <c:tickLblPos val="nextTo"/>
        <c:crossAx val="731527320"/>
        <c:crosses val="autoZero"/>
        <c:crossBetween val="midCat"/>
      </c:valAx>
      <c:valAx>
        <c:axId val="731527320"/>
        <c:scaling>
          <c:orientation val="minMax"/>
        </c:scaling>
        <c:axPos val="l"/>
        <c:majorGridlines/>
        <c:numFmt formatCode="General" sourceLinked="1"/>
        <c:tickLblPos val="nextTo"/>
        <c:crossAx val="7315335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temps de vol à 65% des 5Ah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'4010-375Kv'!$K$14:$K$24</c:f>
              <c:numCache>
                <c:formatCode>General</c:formatCode>
                <c:ptCount val="11"/>
                <c:pt idx="0">
                  <c:v>1750.57421560128</c:v>
                </c:pt>
                <c:pt idx="1">
                  <c:v>1626.110019714668</c:v>
                </c:pt>
                <c:pt idx="2">
                  <c:v>1436.829016252469</c:v>
                </c:pt>
                <c:pt idx="3">
                  <c:v>1303.376209604833</c:v>
                </c:pt>
                <c:pt idx="4">
                  <c:v>1175.774189786217</c:v>
                </c:pt>
                <c:pt idx="5">
                  <c:v>1114.196372313708</c:v>
                </c:pt>
                <c:pt idx="6">
                  <c:v>1054.116540077905</c:v>
                </c:pt>
                <c:pt idx="7">
                  <c:v>997.8604291963586</c:v>
                </c:pt>
                <c:pt idx="8">
                  <c:v>882.9867022129534</c:v>
                </c:pt>
                <c:pt idx="9">
                  <c:v>776.6161911142723</c:v>
                </c:pt>
                <c:pt idx="10">
                  <c:v>697.0273494570492</c:v>
                </c:pt>
              </c:numCache>
            </c:numRef>
          </c:xVal>
          <c:yVal>
            <c:numRef>
              <c:f>'4010-375Kv'!$O$14:$O$24</c:f>
              <c:numCache>
                <c:formatCode>General</c:formatCode>
                <c:ptCount val="11"/>
                <c:pt idx="0">
                  <c:v>7.018194351334651</c:v>
                </c:pt>
                <c:pt idx="1">
                  <c:v>7.524282935529674</c:v>
                </c:pt>
                <c:pt idx="2">
                  <c:v>8.451059160938152</c:v>
                </c:pt>
                <c:pt idx="3">
                  <c:v>9.254762406898354</c:v>
                </c:pt>
                <c:pt idx="4">
                  <c:v>10.18048974245106</c:v>
                </c:pt>
                <c:pt idx="5">
                  <c:v>10.69683457728702</c:v>
                </c:pt>
                <c:pt idx="6">
                  <c:v>11.25372788019329</c:v>
                </c:pt>
                <c:pt idx="7">
                  <c:v>11.83043934142034</c:v>
                </c:pt>
                <c:pt idx="8">
                  <c:v>13.2131081621208</c:v>
                </c:pt>
                <c:pt idx="9">
                  <c:v>14.81659848345716</c:v>
                </c:pt>
                <c:pt idx="10">
                  <c:v>16.29632691736121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'4010-375Kv'!$K$36:$K$43</c:f>
              <c:numCache>
                <c:formatCode>General</c:formatCode>
                <c:ptCount val="8"/>
                <c:pt idx="0">
                  <c:v>1734.249425921093</c:v>
                </c:pt>
                <c:pt idx="1">
                  <c:v>1523.786373196844</c:v>
                </c:pt>
                <c:pt idx="2">
                  <c:v>1369.838034188305</c:v>
                </c:pt>
                <c:pt idx="3">
                  <c:v>1222.977853502253</c:v>
                </c:pt>
                <c:pt idx="4">
                  <c:v>838.7583789332874</c:v>
                </c:pt>
                <c:pt idx="5">
                  <c:v>826.6510959442284</c:v>
                </c:pt>
                <c:pt idx="6">
                  <c:v>709.9041163610689</c:v>
                </c:pt>
                <c:pt idx="7">
                  <c:v>539.8466155506287</c:v>
                </c:pt>
              </c:numCache>
            </c:numRef>
          </c:xVal>
          <c:yVal>
            <c:numRef>
              <c:f>'4010-375Kv'!$O$36:$O$43</c:f>
              <c:numCache>
                <c:formatCode>General</c:formatCode>
                <c:ptCount val="8"/>
                <c:pt idx="0">
                  <c:v>6.0884236869409</c:v>
                </c:pt>
                <c:pt idx="1">
                  <c:v>6.884812089322534</c:v>
                </c:pt>
                <c:pt idx="2">
                  <c:v>7.613243977948481</c:v>
                </c:pt>
                <c:pt idx="3">
                  <c:v>8.467922485314331</c:v>
                </c:pt>
                <c:pt idx="4">
                  <c:v>11.9891805110538</c:v>
                </c:pt>
                <c:pt idx="5">
                  <c:v>12.14836699820752</c:v>
                </c:pt>
                <c:pt idx="6">
                  <c:v>13.93211128377404</c:v>
                </c:pt>
                <c:pt idx="7">
                  <c:v>17.72256733283864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'4010-375Kv'!$K$55:$K$62</c:f>
              <c:numCache>
                <c:formatCode>General</c:formatCode>
                <c:ptCount val="8"/>
                <c:pt idx="0">
                  <c:v>1639.050853093483</c:v>
                </c:pt>
                <c:pt idx="1">
                  <c:v>1285.366297218851</c:v>
                </c:pt>
                <c:pt idx="2">
                  <c:v>1154.40327197112</c:v>
                </c:pt>
                <c:pt idx="3">
                  <c:v>1029.63465410069</c:v>
                </c:pt>
                <c:pt idx="4">
                  <c:v>837.6610197150284</c:v>
                </c:pt>
                <c:pt idx="5">
                  <c:v>693.8350362105726</c:v>
                </c:pt>
                <c:pt idx="6">
                  <c:v>595.2084508771134</c:v>
                </c:pt>
                <c:pt idx="7">
                  <c:v>539.3355521857194</c:v>
                </c:pt>
              </c:numCache>
            </c:numRef>
          </c:xVal>
          <c:yVal>
            <c:numRef>
              <c:f>'4010-375Kv'!$O$55:$O$62</c:f>
              <c:numCache>
                <c:formatCode>General</c:formatCode>
                <c:ptCount val="8"/>
                <c:pt idx="0">
                  <c:v>6.183701657252479</c:v>
                </c:pt>
                <c:pt idx="1">
                  <c:v>7.783350794912038</c:v>
                </c:pt>
                <c:pt idx="2">
                  <c:v>8.6078778405112</c:v>
                </c:pt>
                <c:pt idx="3">
                  <c:v>9.574139426477565</c:v>
                </c:pt>
                <c:pt idx="4">
                  <c:v>11.57299050496125</c:v>
                </c:pt>
                <c:pt idx="5">
                  <c:v>13.71880830980059</c:v>
                </c:pt>
                <c:pt idx="6">
                  <c:v>15.71719186475573</c:v>
                </c:pt>
                <c:pt idx="7">
                  <c:v>17.13086483334276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'4010-375Kv'!$K$73:$K$78</c:f>
              <c:numCache>
                <c:formatCode>General</c:formatCode>
                <c:ptCount val="6"/>
                <c:pt idx="0">
                  <c:v>1443.485379906819</c:v>
                </c:pt>
                <c:pt idx="1">
                  <c:v>981.7401907198307</c:v>
                </c:pt>
                <c:pt idx="2">
                  <c:v>835.1283181173688</c:v>
                </c:pt>
                <c:pt idx="3">
                  <c:v>698.7306702312986</c:v>
                </c:pt>
                <c:pt idx="4">
                  <c:v>572.9467472831657</c:v>
                </c:pt>
                <c:pt idx="5">
                  <c:v>537.3442273573911</c:v>
                </c:pt>
              </c:numCache>
            </c:numRef>
          </c:xVal>
          <c:yVal>
            <c:numRef>
              <c:f>'4010-375Kv'!$O$73:$O$78</c:f>
              <c:numCache>
                <c:formatCode>General</c:formatCode>
                <c:ptCount val="6"/>
                <c:pt idx="0">
                  <c:v>6.536760117701294</c:v>
                </c:pt>
                <c:pt idx="1">
                  <c:v>9.389166008449585</c:v>
                </c:pt>
                <c:pt idx="2">
                  <c:v>10.8992945983143</c:v>
                </c:pt>
                <c:pt idx="3">
                  <c:v>12.81715134567068</c:v>
                </c:pt>
                <c:pt idx="4">
                  <c:v>15.29984448506911</c:v>
                </c:pt>
                <c:pt idx="5">
                  <c:v>16.18733233805645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'4010-375Kv'!$K$89:$K$99</c:f>
              <c:numCache>
                <c:formatCode>General</c:formatCode>
                <c:ptCount val="11"/>
                <c:pt idx="0">
                  <c:v>1450.721909578221</c:v>
                </c:pt>
                <c:pt idx="1">
                  <c:v>1425.941190350542</c:v>
                </c:pt>
                <c:pt idx="2">
                  <c:v>1304.923661074368</c:v>
                </c:pt>
                <c:pt idx="3">
                  <c:v>1188.763855822182</c:v>
                </c:pt>
                <c:pt idx="4">
                  <c:v>1077.527879531509</c:v>
                </c:pt>
                <c:pt idx="5">
                  <c:v>971.283350165244</c:v>
                </c:pt>
                <c:pt idx="6">
                  <c:v>837.8313332253217</c:v>
                </c:pt>
                <c:pt idx="7">
                  <c:v>774.0469648252866</c:v>
                </c:pt>
                <c:pt idx="8">
                  <c:v>683.1983606591155</c:v>
                </c:pt>
                <c:pt idx="9">
                  <c:v>597.6278155943908</c:v>
                </c:pt>
                <c:pt idx="10">
                  <c:v>539.3277700901486</c:v>
                </c:pt>
              </c:numCache>
            </c:numRef>
          </c:xVal>
          <c:yVal>
            <c:numRef>
              <c:f>'4010-375Kv'!$O$89:$O$99</c:f>
              <c:numCache>
                <c:formatCode>General</c:formatCode>
                <c:ptCount val="11"/>
                <c:pt idx="0">
                  <c:v>8.116981675211974</c:v>
                </c:pt>
                <c:pt idx="1">
                  <c:v>8.249091682273095</c:v>
                </c:pt>
                <c:pt idx="2">
                  <c:v>8.961370374018246</c:v>
                </c:pt>
                <c:pt idx="3">
                  <c:v>9.771211502447</c:v>
                </c:pt>
                <c:pt idx="4">
                  <c:v>10.69691835479529</c:v>
                </c:pt>
                <c:pt idx="5">
                  <c:v>11.76114997605715</c:v>
                </c:pt>
                <c:pt idx="6">
                  <c:v>13.44081043558873</c:v>
                </c:pt>
                <c:pt idx="7">
                  <c:v>14.42548142802258</c:v>
                </c:pt>
                <c:pt idx="8">
                  <c:v>16.10606077143487</c:v>
                </c:pt>
                <c:pt idx="9">
                  <c:v>18.09125723734704</c:v>
                </c:pt>
                <c:pt idx="10">
                  <c:v>19.74977825366189</c:v>
                </c:pt>
              </c:numCache>
            </c:numRef>
          </c:yVal>
          <c:smooth val="1"/>
        </c:ser>
        <c:axId val="731444904"/>
        <c:axId val="731440792"/>
      </c:scatterChart>
      <c:valAx>
        <c:axId val="731444904"/>
        <c:scaling>
          <c:orientation val="minMax"/>
        </c:scaling>
        <c:axPos val="b"/>
        <c:numFmt formatCode="General" sourceLinked="1"/>
        <c:tickLblPos val="nextTo"/>
        <c:crossAx val="731440792"/>
        <c:crosses val="autoZero"/>
        <c:crossBetween val="midCat"/>
      </c:valAx>
      <c:valAx>
        <c:axId val="731440792"/>
        <c:scaling>
          <c:orientation val="minMax"/>
        </c:scaling>
        <c:axPos val="l"/>
        <c:majorGridlines/>
        <c:numFmt formatCode="General" sourceLinked="1"/>
        <c:tickLblPos val="nextTo"/>
        <c:crossAx val="7314449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globale (grs/W)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'4230-400Kv'!$F$14:$F$24</c:f>
              <c:numCache>
                <c:formatCode>General</c:formatCode>
                <c:ptCount val="11"/>
                <c:pt idx="0">
                  <c:v>261.2498972868214</c:v>
                </c:pt>
                <c:pt idx="1">
                  <c:v>238.9722428441153</c:v>
                </c:pt>
                <c:pt idx="2">
                  <c:v>224.8105001272908</c:v>
                </c:pt>
                <c:pt idx="3">
                  <c:v>197.0410479971102</c:v>
                </c:pt>
                <c:pt idx="4">
                  <c:v>171.5543359541783</c:v>
                </c:pt>
                <c:pt idx="5">
                  <c:v>148.2746408281395</c:v>
                </c:pt>
                <c:pt idx="6">
                  <c:v>127.1235305072089</c:v>
                </c:pt>
                <c:pt idx="7">
                  <c:v>115.7992916537178</c:v>
                </c:pt>
                <c:pt idx="8">
                  <c:v>90.87883120331551</c:v>
                </c:pt>
                <c:pt idx="9">
                  <c:v>75.61334742209618</c:v>
                </c:pt>
                <c:pt idx="10">
                  <c:v>69.73932503767175</c:v>
                </c:pt>
              </c:numCache>
            </c:numRef>
          </c:xVal>
          <c:yVal>
            <c:numRef>
              <c:f>'4230-400Kv'!$L$14:$L$24</c:f>
              <c:numCache>
                <c:formatCode>General</c:formatCode>
                <c:ptCount val="11"/>
                <c:pt idx="0">
                  <c:v>6.672750348724168</c:v>
                </c:pt>
                <c:pt idx="1">
                  <c:v>6.875014796419877</c:v>
                </c:pt>
                <c:pt idx="2">
                  <c:v>7.016427812216494</c:v>
                </c:pt>
                <c:pt idx="3">
                  <c:v>7.329366756931683</c:v>
                </c:pt>
                <c:pt idx="4">
                  <c:v>7.669525221906703</c:v>
                </c:pt>
                <c:pt idx="5">
                  <c:v>8.040226565382234</c:v>
                </c:pt>
                <c:pt idx="6">
                  <c:v>8.445242650434007</c:v>
                </c:pt>
                <c:pt idx="7">
                  <c:v>8.697528943398296</c:v>
                </c:pt>
                <c:pt idx="8">
                  <c:v>9.375678824329497</c:v>
                </c:pt>
                <c:pt idx="9">
                  <c:v>9.910923035519854</c:v>
                </c:pt>
                <c:pt idx="10">
                  <c:v>10.15142748322869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'4230-400Kv'!$F$36:$F$43</c:f>
              <c:numCache>
                <c:formatCode>General</c:formatCode>
                <c:ptCount val="8"/>
                <c:pt idx="0">
                  <c:v>246.0722994421714</c:v>
                </c:pt>
                <c:pt idx="1">
                  <c:v>210.1067581004638</c:v>
                </c:pt>
                <c:pt idx="2">
                  <c:v>153.496345888278</c:v>
                </c:pt>
                <c:pt idx="3">
                  <c:v>107.5644170319128</c:v>
                </c:pt>
                <c:pt idx="4">
                  <c:v>74.66414789526223</c:v>
                </c:pt>
                <c:pt idx="5">
                  <c:v>56.82804529507862</c:v>
                </c:pt>
                <c:pt idx="6">
                  <c:v>50.30250763627622</c:v>
                </c:pt>
                <c:pt idx="7">
                  <c:v>42.01818421094026</c:v>
                </c:pt>
              </c:numCache>
            </c:numRef>
          </c:xVal>
          <c:yVal>
            <c:numRef>
              <c:f>'4230-400Kv'!$L$36:$L$43</c:f>
              <c:numCache>
                <c:formatCode>General</c:formatCode>
                <c:ptCount val="8"/>
                <c:pt idx="0">
                  <c:v>6.646289459754382</c:v>
                </c:pt>
                <c:pt idx="1">
                  <c:v>7.016718743370131</c:v>
                </c:pt>
                <c:pt idx="2">
                  <c:v>7.801108393032858</c:v>
                </c:pt>
                <c:pt idx="3">
                  <c:v>8.767661415720703</c:v>
                </c:pt>
                <c:pt idx="4">
                  <c:v>9.84356671216929</c:v>
                </c:pt>
                <c:pt idx="5">
                  <c:v>10.69831656651566</c:v>
                </c:pt>
                <c:pt idx="6">
                  <c:v>11.09233718472868</c:v>
                </c:pt>
                <c:pt idx="7">
                  <c:v>11.68496837877122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'4230-400Kv'!$F$55:$F$62</c:f>
              <c:numCache>
                <c:formatCode>General</c:formatCode>
                <c:ptCount val="8"/>
                <c:pt idx="0">
                  <c:v>260.3129582270235</c:v>
                </c:pt>
                <c:pt idx="1">
                  <c:v>188.6572126364061</c:v>
                </c:pt>
                <c:pt idx="2">
                  <c:v>137.6431998229111</c:v>
                </c:pt>
                <c:pt idx="3">
                  <c:v>96.36728383316517</c:v>
                </c:pt>
                <c:pt idx="4">
                  <c:v>85.76506330632942</c:v>
                </c:pt>
                <c:pt idx="5">
                  <c:v>64.02408329264783</c:v>
                </c:pt>
                <c:pt idx="6">
                  <c:v>50.92853075271112</c:v>
                </c:pt>
                <c:pt idx="7">
                  <c:v>47.95527940465359</c:v>
                </c:pt>
              </c:numCache>
            </c:numRef>
          </c:xVal>
          <c:yVal>
            <c:numRef>
              <c:f>'4230-400Kv'!$L$55:$L$62</c:f>
              <c:numCache>
                <c:formatCode>General</c:formatCode>
                <c:ptCount val="8"/>
                <c:pt idx="0">
                  <c:v>6.005868155118555</c:v>
                </c:pt>
                <c:pt idx="1">
                  <c:v>6.698980744545269</c:v>
                </c:pt>
                <c:pt idx="2">
                  <c:v>7.436437669902267</c:v>
                </c:pt>
                <c:pt idx="3">
                  <c:v>8.339628306960778</c:v>
                </c:pt>
                <c:pt idx="4">
                  <c:v>8.650257583353378</c:v>
                </c:pt>
                <c:pt idx="5">
                  <c:v>9.459996803107625</c:v>
                </c:pt>
                <c:pt idx="6">
                  <c:v>10.12074938814201</c:v>
                </c:pt>
                <c:pt idx="7">
                  <c:v>10.29773278483576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'4230-400Kv'!$F$73:$F$78</c:f>
              <c:numCache>
                <c:formatCode>General</c:formatCode>
                <c:ptCount val="6"/>
                <c:pt idx="0">
                  <c:v>201.6570989200757</c:v>
                </c:pt>
                <c:pt idx="1">
                  <c:v>125.0681558299544</c:v>
                </c:pt>
                <c:pt idx="2">
                  <c:v>66.2344382594865</c:v>
                </c:pt>
                <c:pt idx="3">
                  <c:v>62.894062793985</c:v>
                </c:pt>
                <c:pt idx="4">
                  <c:v>47.79299008766431</c:v>
                </c:pt>
                <c:pt idx="5">
                  <c:v>37.08074608949826</c:v>
                </c:pt>
              </c:numCache>
            </c:numRef>
          </c:xVal>
          <c:yVal>
            <c:numRef>
              <c:f>'4230-400Kv'!$L$73:$L$78</c:f>
              <c:numCache>
                <c:formatCode>General</c:formatCode>
                <c:ptCount val="6"/>
                <c:pt idx="0">
                  <c:v>7.299479830235633</c:v>
                </c:pt>
                <c:pt idx="1">
                  <c:v>8.612858078117076</c:v>
                </c:pt>
                <c:pt idx="2">
                  <c:v>10.62556562753331</c:v>
                </c:pt>
                <c:pt idx="3">
                  <c:v>10.80225914565581</c:v>
                </c:pt>
                <c:pt idx="4">
                  <c:v>11.76913736506437</c:v>
                </c:pt>
                <c:pt idx="5">
                  <c:v>12.70190202723292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'4230-400Kv'!$F$89:$F$99</c:f>
              <c:numCache>
                <c:formatCode>General</c:formatCode>
                <c:ptCount val="11"/>
                <c:pt idx="0">
                  <c:v>306.2687266113841</c:v>
                </c:pt>
                <c:pt idx="1">
                  <c:v>223.650300802695</c:v>
                </c:pt>
                <c:pt idx="2">
                  <c:v>184.6627847027081</c:v>
                </c:pt>
                <c:pt idx="3">
                  <c:v>150.3264518678642</c:v>
                </c:pt>
                <c:pt idx="4">
                  <c:v>120.4030547158798</c:v>
                </c:pt>
                <c:pt idx="5">
                  <c:v>102.7829052374094</c:v>
                </c:pt>
                <c:pt idx="6">
                  <c:v>89.2032934292782</c:v>
                </c:pt>
                <c:pt idx="7">
                  <c:v>94.64280801687362</c:v>
                </c:pt>
                <c:pt idx="8">
                  <c:v>79.65321395910375</c:v>
                </c:pt>
                <c:pt idx="9">
                  <c:v>66.31665556790163</c:v>
                </c:pt>
                <c:pt idx="10">
                  <c:v>50.26248787438468</c:v>
                </c:pt>
              </c:numCache>
            </c:numRef>
          </c:xVal>
          <c:yVal>
            <c:numRef>
              <c:f>'4230-400Kv'!$L$89:$L$99</c:f>
              <c:numCache>
                <c:formatCode>General</c:formatCode>
                <c:ptCount val="11"/>
                <c:pt idx="0">
                  <c:v>5.815915888683742</c:v>
                </c:pt>
                <c:pt idx="1">
                  <c:v>6.456734733652854</c:v>
                </c:pt>
                <c:pt idx="2">
                  <c:v>6.873308252285824</c:v>
                </c:pt>
                <c:pt idx="3">
                  <c:v>7.342627510920322</c:v>
                </c:pt>
                <c:pt idx="4">
                  <c:v>7.873897745108846</c:v>
                </c:pt>
                <c:pt idx="5">
                  <c:v>8.267734439406</c:v>
                </c:pt>
                <c:pt idx="6">
                  <c:v>8.630492153165636</c:v>
                </c:pt>
                <c:pt idx="7">
                  <c:v>8.47784657514754</c:v>
                </c:pt>
                <c:pt idx="8">
                  <c:v>8.92674071006008</c:v>
                </c:pt>
                <c:pt idx="9">
                  <c:v>9.416909235964448</c:v>
                </c:pt>
                <c:pt idx="10">
                  <c:v>10.17874448638382</c:v>
                </c:pt>
              </c:numCache>
            </c:numRef>
          </c:yVal>
          <c:smooth val="1"/>
        </c:ser>
        <c:axId val="731378232"/>
        <c:axId val="731303784"/>
      </c:scatterChart>
      <c:valAx>
        <c:axId val="731378232"/>
        <c:scaling>
          <c:orientation val="minMax"/>
        </c:scaling>
        <c:axPos val="b"/>
        <c:numFmt formatCode="General" sourceLinked="1"/>
        <c:tickLblPos val="nextTo"/>
        <c:crossAx val="731303784"/>
        <c:crosses val="autoZero"/>
        <c:crossBetween val="midCat"/>
      </c:valAx>
      <c:valAx>
        <c:axId val="731303784"/>
        <c:scaling>
          <c:orientation val="minMax"/>
        </c:scaling>
        <c:axPos val="l"/>
        <c:majorGridlines/>
        <c:numFmt formatCode="General" sourceLinked="1"/>
        <c:tickLblPos val="nextTo"/>
        <c:crossAx val="73137823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mécanique (grs/W)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'4230-400Kv'!$G$14:$G$24</c:f>
              <c:numCache>
                <c:formatCode>General</c:formatCode>
                <c:ptCount val="11"/>
                <c:pt idx="0">
                  <c:v>216.3878178125023</c:v>
                </c:pt>
                <c:pt idx="1">
                  <c:v>197.9807407768828</c:v>
                </c:pt>
                <c:pt idx="2">
                  <c:v>186.2474260234112</c:v>
                </c:pt>
                <c:pt idx="3">
                  <c:v>163.1646387852097</c:v>
                </c:pt>
                <c:pt idx="4">
                  <c:v>141.8882944551413</c:v>
                </c:pt>
                <c:pt idx="5">
                  <c:v>122.3753793527545</c:v>
                </c:pt>
                <c:pt idx="6">
                  <c:v>104.5799468415117</c:v>
                </c:pt>
                <c:pt idx="7">
                  <c:v>95.02633462635858</c:v>
                </c:pt>
                <c:pt idx="8">
                  <c:v>73.94170855792792</c:v>
                </c:pt>
                <c:pt idx="9">
                  <c:v>60.99021331185659</c:v>
                </c:pt>
                <c:pt idx="10">
                  <c:v>56.00136132125207</c:v>
                </c:pt>
              </c:numCache>
            </c:numRef>
          </c:xVal>
          <c:yVal>
            <c:numRef>
              <c:f>'4230-400Kv'!$L$14:$L$24</c:f>
              <c:numCache>
                <c:formatCode>General</c:formatCode>
                <c:ptCount val="11"/>
                <c:pt idx="0">
                  <c:v>6.672750348724168</c:v>
                </c:pt>
                <c:pt idx="1">
                  <c:v>6.875014796419877</c:v>
                </c:pt>
                <c:pt idx="2">
                  <c:v>7.016427812216494</c:v>
                </c:pt>
                <c:pt idx="3">
                  <c:v>7.329366756931683</c:v>
                </c:pt>
                <c:pt idx="4">
                  <c:v>7.669525221906703</c:v>
                </c:pt>
                <c:pt idx="5">
                  <c:v>8.040226565382234</c:v>
                </c:pt>
                <c:pt idx="6">
                  <c:v>8.445242650434007</c:v>
                </c:pt>
                <c:pt idx="7">
                  <c:v>8.697528943398296</c:v>
                </c:pt>
                <c:pt idx="8">
                  <c:v>9.375678824329497</c:v>
                </c:pt>
                <c:pt idx="9">
                  <c:v>9.910923035519854</c:v>
                </c:pt>
                <c:pt idx="10">
                  <c:v>10.15142748322869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'4230-400Kv'!$G$36:$G$43</c:f>
              <c:numCache>
                <c:formatCode>General</c:formatCode>
                <c:ptCount val="8"/>
                <c:pt idx="0">
                  <c:v>196.6320326724116</c:v>
                </c:pt>
                <c:pt idx="1">
                  <c:v>168.2877234249069</c:v>
                </c:pt>
                <c:pt idx="2">
                  <c:v>123.1892553127845</c:v>
                </c:pt>
                <c:pt idx="3">
                  <c:v>86.10331983801831</c:v>
                </c:pt>
                <c:pt idx="4">
                  <c:v>59.23633802963643</c:v>
                </c:pt>
                <c:pt idx="5">
                  <c:v>44.56650155998047</c:v>
                </c:pt>
                <c:pt idx="6">
                  <c:v>39.18414251760611</c:v>
                </c:pt>
                <c:pt idx="7">
                  <c:v>32.34361307918471</c:v>
                </c:pt>
              </c:numCache>
            </c:numRef>
          </c:xVal>
          <c:yVal>
            <c:numRef>
              <c:f>'4230-400Kv'!$L$36:$L$43</c:f>
              <c:numCache>
                <c:formatCode>General</c:formatCode>
                <c:ptCount val="8"/>
                <c:pt idx="0">
                  <c:v>6.646289459754382</c:v>
                </c:pt>
                <c:pt idx="1">
                  <c:v>7.016718743370131</c:v>
                </c:pt>
                <c:pt idx="2">
                  <c:v>7.801108393032858</c:v>
                </c:pt>
                <c:pt idx="3">
                  <c:v>8.767661415720703</c:v>
                </c:pt>
                <c:pt idx="4">
                  <c:v>9.84356671216929</c:v>
                </c:pt>
                <c:pt idx="5">
                  <c:v>10.69831656651566</c:v>
                </c:pt>
                <c:pt idx="6">
                  <c:v>11.09233718472868</c:v>
                </c:pt>
                <c:pt idx="7">
                  <c:v>11.68496837877122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'4230-400Kv'!$G$55:$G$62</c:f>
              <c:numCache>
                <c:formatCode>General</c:formatCode>
                <c:ptCount val="8"/>
                <c:pt idx="0">
                  <c:v>210.5146373419553</c:v>
                </c:pt>
                <c:pt idx="1">
                  <c:v>153.0023637599136</c:v>
                </c:pt>
                <c:pt idx="2">
                  <c:v>111.5204413174206</c:v>
                </c:pt>
                <c:pt idx="3">
                  <c:v>77.58707786273673</c:v>
                </c:pt>
                <c:pt idx="4">
                  <c:v>68.81515690184406</c:v>
                </c:pt>
                <c:pt idx="5">
                  <c:v>50.76056688971977</c:v>
                </c:pt>
                <c:pt idx="6">
                  <c:v>39.85067235602627</c:v>
                </c:pt>
                <c:pt idx="7">
                  <c:v>37.37162579774468</c:v>
                </c:pt>
              </c:numCache>
            </c:numRef>
          </c:xVal>
          <c:yVal>
            <c:numRef>
              <c:f>'4230-400Kv'!$L$55:$L$62</c:f>
              <c:numCache>
                <c:formatCode>General</c:formatCode>
                <c:ptCount val="8"/>
                <c:pt idx="0">
                  <c:v>6.005868155118555</c:v>
                </c:pt>
                <c:pt idx="1">
                  <c:v>6.698980744545269</c:v>
                </c:pt>
                <c:pt idx="2">
                  <c:v>7.436437669902267</c:v>
                </c:pt>
                <c:pt idx="3">
                  <c:v>8.339628306960778</c:v>
                </c:pt>
                <c:pt idx="4">
                  <c:v>8.650257583353378</c:v>
                </c:pt>
                <c:pt idx="5">
                  <c:v>9.459996803107625</c:v>
                </c:pt>
                <c:pt idx="6">
                  <c:v>10.12074938814201</c:v>
                </c:pt>
                <c:pt idx="7">
                  <c:v>10.29773278483576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'4230-400Kv'!$G$73:$G$78</c:f>
              <c:numCache>
                <c:formatCode>General</c:formatCode>
                <c:ptCount val="6"/>
                <c:pt idx="0">
                  <c:v>154.05442130768</c:v>
                </c:pt>
                <c:pt idx="1">
                  <c:v>96.4399731261928</c:v>
                </c:pt>
                <c:pt idx="2">
                  <c:v>50.92955694598784</c:v>
                </c:pt>
                <c:pt idx="3">
                  <c:v>48.30614577485745</c:v>
                </c:pt>
                <c:pt idx="4">
                  <c:v>36.38976710974967</c:v>
                </c:pt>
                <c:pt idx="5">
                  <c:v>27.88315151878151</c:v>
                </c:pt>
              </c:numCache>
            </c:numRef>
          </c:xVal>
          <c:yVal>
            <c:numRef>
              <c:f>'4230-400Kv'!$L$73:$L$78</c:f>
              <c:numCache>
                <c:formatCode>General</c:formatCode>
                <c:ptCount val="6"/>
                <c:pt idx="0">
                  <c:v>7.299479830235633</c:v>
                </c:pt>
                <c:pt idx="1">
                  <c:v>8.612858078117076</c:v>
                </c:pt>
                <c:pt idx="2">
                  <c:v>10.62556562753331</c:v>
                </c:pt>
                <c:pt idx="3">
                  <c:v>10.80225914565581</c:v>
                </c:pt>
                <c:pt idx="4">
                  <c:v>11.76913736506437</c:v>
                </c:pt>
                <c:pt idx="5">
                  <c:v>12.70190202723292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'4230-400Kv'!$G$89:$G$99</c:f>
              <c:numCache>
                <c:formatCode>General</c:formatCode>
                <c:ptCount val="11"/>
                <c:pt idx="0">
                  <c:v>256.3345774051576</c:v>
                </c:pt>
                <c:pt idx="1">
                  <c:v>187.1111571273858</c:v>
                </c:pt>
                <c:pt idx="2">
                  <c:v>154.1856091344614</c:v>
                </c:pt>
                <c:pt idx="3">
                  <c:v>125.0421390169693</c:v>
                </c:pt>
                <c:pt idx="4">
                  <c:v>99.53296739344513</c:v>
                </c:pt>
                <c:pt idx="5">
                  <c:v>84.46701556495368</c:v>
                </c:pt>
                <c:pt idx="6">
                  <c:v>72.83677607379248</c:v>
                </c:pt>
                <c:pt idx="7">
                  <c:v>77.4971609990391</c:v>
                </c:pt>
                <c:pt idx="8">
                  <c:v>64.65027468616207</c:v>
                </c:pt>
                <c:pt idx="9">
                  <c:v>53.21358752838165</c:v>
                </c:pt>
                <c:pt idx="10">
                  <c:v>39.45784194998209</c:v>
                </c:pt>
              </c:numCache>
            </c:numRef>
          </c:xVal>
          <c:yVal>
            <c:numRef>
              <c:f>'4230-400Kv'!$L$89:$L$99</c:f>
              <c:numCache>
                <c:formatCode>General</c:formatCode>
                <c:ptCount val="11"/>
                <c:pt idx="0">
                  <c:v>5.815915888683742</c:v>
                </c:pt>
                <c:pt idx="1">
                  <c:v>6.456734733652854</c:v>
                </c:pt>
                <c:pt idx="2">
                  <c:v>6.873308252285824</c:v>
                </c:pt>
                <c:pt idx="3">
                  <c:v>7.342627510920322</c:v>
                </c:pt>
                <c:pt idx="4">
                  <c:v>7.873897745108846</c:v>
                </c:pt>
                <c:pt idx="5">
                  <c:v>8.267734439406</c:v>
                </c:pt>
                <c:pt idx="6">
                  <c:v>8.630492153165636</c:v>
                </c:pt>
                <c:pt idx="7">
                  <c:v>8.47784657514754</c:v>
                </c:pt>
                <c:pt idx="8">
                  <c:v>8.92674071006008</c:v>
                </c:pt>
                <c:pt idx="9">
                  <c:v>9.416909235964448</c:v>
                </c:pt>
                <c:pt idx="10">
                  <c:v>10.17874448638382</c:v>
                </c:pt>
              </c:numCache>
            </c:numRef>
          </c:yVal>
          <c:smooth val="1"/>
        </c:ser>
        <c:axId val="731273720"/>
        <c:axId val="731276872"/>
      </c:scatterChart>
      <c:valAx>
        <c:axId val="731273720"/>
        <c:scaling>
          <c:orientation val="minMax"/>
        </c:scaling>
        <c:axPos val="b"/>
        <c:numFmt formatCode="General" sourceLinked="1"/>
        <c:tickLblPos val="nextTo"/>
        <c:crossAx val="731276872"/>
        <c:crosses val="autoZero"/>
        <c:crossBetween val="midCat"/>
      </c:valAx>
      <c:valAx>
        <c:axId val="731276872"/>
        <c:scaling>
          <c:orientation val="minMax"/>
        </c:scaling>
        <c:axPos val="l"/>
        <c:majorGridlines/>
        <c:numFmt formatCode="General" sourceLinked="1"/>
        <c:tickLblPos val="nextTo"/>
        <c:crossAx val="73127372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Traction/courant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'4230-400Kv'!$E$14:$E$24</c:f>
              <c:numCache>
                <c:formatCode>General</c:formatCode>
                <c:ptCount val="11"/>
                <c:pt idx="0">
                  <c:v>11.76801339129826</c:v>
                </c:pt>
                <c:pt idx="1">
                  <c:v>11.12533719013572</c:v>
                </c:pt>
                <c:pt idx="2">
                  <c:v>10.70526191082337</c:v>
                </c:pt>
                <c:pt idx="3">
                  <c:v>9.85205239985551</c:v>
                </c:pt>
                <c:pt idx="4">
                  <c:v>9.029175576535697</c:v>
                </c:pt>
                <c:pt idx="5">
                  <c:v>8.237480046007751</c:v>
                </c:pt>
                <c:pt idx="6">
                  <c:v>7.47785473571817</c:v>
                </c:pt>
                <c:pt idx="7">
                  <c:v>7.052332013015697</c:v>
                </c:pt>
                <c:pt idx="8">
                  <c:v>6.058588746887701</c:v>
                </c:pt>
                <c:pt idx="9">
                  <c:v>5.400953387292584</c:v>
                </c:pt>
                <c:pt idx="10">
                  <c:v>5.135443669931645</c:v>
                </c:pt>
              </c:numCache>
            </c:numRef>
          </c:xVal>
          <c:yVal>
            <c:numRef>
              <c:f>'4230-400Kv'!$K$14:$K$24</c:f>
              <c:numCache>
                <c:formatCode>General</c:formatCode>
                <c:ptCount val="11"/>
                <c:pt idx="0">
                  <c:v>1743.255343224791</c:v>
                </c:pt>
                <c:pt idx="1">
                  <c:v>1642.937705486937</c:v>
                </c:pt>
                <c:pt idx="2">
                  <c:v>1577.366645571423</c:v>
                </c:pt>
                <c:pt idx="3">
                  <c:v>1444.186106940999</c:v>
                </c:pt>
                <c:pt idx="4">
                  <c:v>1315.740306528026</c:v>
                </c:pt>
                <c:pt idx="5">
                  <c:v>1192.161706158917</c:v>
                </c:pt>
                <c:pt idx="6">
                  <c:v>1073.58906171323</c:v>
                </c:pt>
                <c:pt idx="7">
                  <c:v>1007.167690783231</c:v>
                </c:pt>
                <c:pt idx="8">
                  <c:v>852.0507332927401</c:v>
                </c:pt>
                <c:pt idx="9">
                  <c:v>749.3980667584188</c:v>
                </c:pt>
                <c:pt idx="10">
                  <c:v>707.9537008492396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'4230-400Kv'!$E$36:$E$43</c:f>
              <c:numCache>
                <c:formatCode>General</c:formatCode>
                <c:ptCount val="8"/>
                <c:pt idx="0">
                  <c:v>12.88336646294091</c:v>
                </c:pt>
                <c:pt idx="1">
                  <c:v>11.672597672248</c:v>
                </c:pt>
                <c:pt idx="2">
                  <c:v>9.593521618017371</c:v>
                </c:pt>
                <c:pt idx="3">
                  <c:v>7.683172645136631</c:v>
                </c:pt>
                <c:pt idx="4">
                  <c:v>6.120012122562478</c:v>
                </c:pt>
                <c:pt idx="5">
                  <c:v>5.166185935916238</c:v>
                </c:pt>
                <c:pt idx="6">
                  <c:v>4.790715012978688</c:v>
                </c:pt>
                <c:pt idx="7">
                  <c:v>4.287569817442884</c:v>
                </c:pt>
              </c:numCache>
            </c:numRef>
          </c:xVal>
          <c:yVal>
            <c:numRef>
              <c:f>'4230-400Kv'!$K$36:$K$43</c:f>
              <c:numCache>
                <c:formatCode>General</c:formatCode>
                <c:ptCount val="8"/>
                <c:pt idx="0">
                  <c:v>1635.467730120028</c:v>
                </c:pt>
                <c:pt idx="1">
                  <c:v>1474.260027672259</c:v>
                </c:pt>
                <c:pt idx="2">
                  <c:v>1197.44163220892</c:v>
                </c:pt>
                <c:pt idx="3">
                  <c:v>943.088388915193</c:v>
                </c:pt>
                <c:pt idx="4">
                  <c:v>734.9615208142883</c:v>
                </c:pt>
                <c:pt idx="5">
                  <c:v>607.9644184230419</c:v>
                </c:pt>
                <c:pt idx="6">
                  <c:v>557.9723759389652</c:v>
                </c:pt>
                <c:pt idx="7">
                  <c:v>490.981153838221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'4230-400Kv'!$E$55:$E$62</c:f>
              <c:numCache>
                <c:formatCode>General</c:formatCode>
                <c:ptCount val="8"/>
                <c:pt idx="0">
                  <c:v>12.82329843482874</c:v>
                </c:pt>
                <c:pt idx="1">
                  <c:v>10.48095625757812</c:v>
                </c:pt>
                <c:pt idx="2">
                  <c:v>8.602699988931945</c:v>
                </c:pt>
                <c:pt idx="3">
                  <c:v>6.883377416654655</c:v>
                </c:pt>
                <c:pt idx="4">
                  <c:v>6.4003778586813</c:v>
                </c:pt>
                <c:pt idx="5">
                  <c:v>5.335340274387319</c:v>
                </c:pt>
                <c:pt idx="6">
                  <c:v>4.629866432064646</c:v>
                </c:pt>
                <c:pt idx="7">
                  <c:v>4.460956223688706</c:v>
                </c:pt>
              </c:numCache>
            </c:numRef>
          </c:xVal>
          <c:yVal>
            <c:numRef>
              <c:f>'4230-400Kv'!$K$55:$K$62</c:f>
              <c:numCache>
                <c:formatCode>General</c:formatCode>
                <c:ptCount val="8"/>
                <c:pt idx="0">
                  <c:v>1563.405306180387</c:v>
                </c:pt>
                <c:pt idx="1">
                  <c:v>1263.811034770867</c:v>
                </c:pt>
                <c:pt idx="2">
                  <c:v>1023.575076168981</c:v>
                </c:pt>
                <c:pt idx="3">
                  <c:v>803.667328119988</c:v>
                </c:pt>
                <c:pt idx="4">
                  <c:v>741.8898892523586</c:v>
                </c:pt>
                <c:pt idx="5">
                  <c:v>605.6676232703447</c:v>
                </c:pt>
                <c:pt idx="6">
                  <c:v>515.4348964544726</c:v>
                </c:pt>
                <c:pt idx="7">
                  <c:v>493.8306529312606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'4230-400Kv'!$E$73:$E$78</c:f>
              <c:numCache>
                <c:formatCode>General</c:formatCode>
                <c:ptCount val="6"/>
                <c:pt idx="0">
                  <c:v>12.92673711026126</c:v>
                </c:pt>
                <c:pt idx="1">
                  <c:v>9.620627371534951</c:v>
                </c:pt>
                <c:pt idx="2">
                  <c:v>6.49357237838103</c:v>
                </c:pt>
                <c:pt idx="3">
                  <c:v>6.2894062793985</c:v>
                </c:pt>
                <c:pt idx="4">
                  <c:v>5.3103322319627</c:v>
                </c:pt>
                <c:pt idx="5">
                  <c:v>4.544209079595375</c:v>
                </c:pt>
              </c:numCache>
            </c:numRef>
          </c:xVal>
          <c:yVal>
            <c:numRef>
              <c:f>'4230-400Kv'!$K$73:$K$78</c:f>
              <c:numCache>
                <c:formatCode>General</c:formatCode>
                <c:ptCount val="6"/>
                <c:pt idx="0">
                  <c:v>1471.991926190925</c:v>
                </c:pt>
                <c:pt idx="1">
                  <c:v>1077.194276255228</c:v>
                </c:pt>
                <c:pt idx="2">
                  <c:v>703.7783705289767</c:v>
                </c:pt>
                <c:pt idx="3">
                  <c:v>679.3979650237753</c:v>
                </c:pt>
                <c:pt idx="4">
                  <c:v>562.482265428881</c:v>
                </c:pt>
                <c:pt idx="5">
                  <c:v>470.9960039255073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'4230-400Kv'!$E$89:$E$99</c:f>
              <c:numCache>
                <c:formatCode>General</c:formatCode>
                <c:ptCount val="11"/>
                <c:pt idx="0">
                  <c:v>12.39954358750543</c:v>
                </c:pt>
                <c:pt idx="1">
                  <c:v>10.16592276375887</c:v>
                </c:pt>
                <c:pt idx="2">
                  <c:v>9.007940717205274</c:v>
                </c:pt>
                <c:pt idx="3">
                  <c:v>7.911918519361271</c:v>
                </c:pt>
                <c:pt idx="4">
                  <c:v>6.880174555193132</c:v>
                </c:pt>
                <c:pt idx="5">
                  <c:v>6.229266984085415</c:v>
                </c:pt>
                <c:pt idx="6">
                  <c:v>5.69989095394749</c:v>
                </c:pt>
                <c:pt idx="7">
                  <c:v>5.915175501054601</c:v>
                </c:pt>
                <c:pt idx="8">
                  <c:v>5.31021426394025</c:v>
                </c:pt>
                <c:pt idx="9">
                  <c:v>4.736903969135831</c:v>
                </c:pt>
                <c:pt idx="10">
                  <c:v>3.98908633923688</c:v>
                </c:pt>
              </c:numCache>
            </c:numRef>
          </c:xVal>
          <c:yVal>
            <c:numRef>
              <c:f>'4230-400Kv'!$K$89:$K$99</c:f>
              <c:numCache>
                <c:formatCode>General</c:formatCode>
                <c:ptCount val="11"/>
                <c:pt idx="0">
                  <c:v>1781.233153306086</c:v>
                </c:pt>
                <c:pt idx="1">
                  <c:v>1444.05066538467</c:v>
                </c:pt>
                <c:pt idx="2">
                  <c:v>1269.244241987204</c:v>
                </c:pt>
                <c:pt idx="3">
                  <c:v>1103.79114110402</c:v>
                </c:pt>
                <c:pt idx="4">
                  <c:v>948.041341031583</c:v>
                </c:pt>
                <c:pt idx="5">
                  <c:v>849.7817654135328</c:v>
                </c:pt>
                <c:pt idx="6">
                  <c:v>769.8683239779174</c:v>
                </c:pt>
                <c:pt idx="7">
                  <c:v>802.367205808198</c:v>
                </c:pt>
                <c:pt idx="8">
                  <c:v>711.0435877358573</c:v>
                </c:pt>
                <c:pt idx="9">
                  <c:v>624.4979263156461</c:v>
                </c:pt>
                <c:pt idx="10">
                  <c:v>511.6090213233264</c:v>
                </c:pt>
              </c:numCache>
            </c:numRef>
          </c:yVal>
          <c:smooth val="1"/>
        </c:ser>
        <c:axId val="731255752"/>
        <c:axId val="731185928"/>
      </c:scatterChart>
      <c:valAx>
        <c:axId val="731255752"/>
        <c:scaling>
          <c:orientation val="minMax"/>
        </c:scaling>
        <c:axPos val="b"/>
        <c:numFmt formatCode="General" sourceLinked="1"/>
        <c:tickLblPos val="nextTo"/>
        <c:crossAx val="731185928"/>
        <c:crosses val="autoZero"/>
        <c:crossBetween val="midCat"/>
      </c:valAx>
      <c:valAx>
        <c:axId val="731185928"/>
        <c:scaling>
          <c:orientation val="minMax"/>
        </c:scaling>
        <c:axPos val="l"/>
        <c:majorGridlines/>
        <c:numFmt formatCode="General" sourceLinked="1"/>
        <c:tickLblPos val="nextTo"/>
        <c:crossAx val="7312557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rendement Turnigy 4010-375Kv/traction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'4230-400Kv'!$K$14:$K$24</c:f>
              <c:numCache>
                <c:formatCode>General</c:formatCode>
                <c:ptCount val="11"/>
                <c:pt idx="0">
                  <c:v>1743.255343224791</c:v>
                </c:pt>
                <c:pt idx="1">
                  <c:v>1642.937705486937</c:v>
                </c:pt>
                <c:pt idx="2">
                  <c:v>1577.366645571423</c:v>
                </c:pt>
                <c:pt idx="3">
                  <c:v>1444.186106940999</c:v>
                </c:pt>
                <c:pt idx="4">
                  <c:v>1315.740306528026</c:v>
                </c:pt>
                <c:pt idx="5">
                  <c:v>1192.161706158917</c:v>
                </c:pt>
                <c:pt idx="6">
                  <c:v>1073.58906171323</c:v>
                </c:pt>
                <c:pt idx="7">
                  <c:v>1007.167690783231</c:v>
                </c:pt>
                <c:pt idx="8">
                  <c:v>852.0507332927401</c:v>
                </c:pt>
                <c:pt idx="9">
                  <c:v>749.3980667584188</c:v>
                </c:pt>
                <c:pt idx="10">
                  <c:v>707.9537008492396</c:v>
                </c:pt>
              </c:numCache>
            </c:numRef>
          </c:xVal>
          <c:yVal>
            <c:numRef>
              <c:f>'4230-400Kv'!$H$14:$H$24</c:f>
              <c:numCache>
                <c:formatCode>General</c:formatCode>
                <c:ptCount val="11"/>
                <c:pt idx="0">
                  <c:v>82.8279054115509</c:v>
                </c:pt>
                <c:pt idx="1">
                  <c:v>82.84675174849833</c:v>
                </c:pt>
                <c:pt idx="2">
                  <c:v>82.84640882785962</c:v>
                </c:pt>
                <c:pt idx="3">
                  <c:v>82.80743552866339</c:v>
                </c:pt>
                <c:pt idx="4">
                  <c:v>82.70749536347441</c:v>
                </c:pt>
                <c:pt idx="5">
                  <c:v>82.53291235053194</c:v>
                </c:pt>
                <c:pt idx="6">
                  <c:v>82.26639586255133</c:v>
                </c:pt>
                <c:pt idx="7">
                  <c:v>82.06123998627045</c:v>
                </c:pt>
                <c:pt idx="8">
                  <c:v>81.36296162579864</c:v>
                </c:pt>
                <c:pt idx="9">
                  <c:v>80.66064443806605</c:v>
                </c:pt>
                <c:pt idx="10">
                  <c:v>80.30097981447526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'4230-400Kv'!$K$36:$K$43</c:f>
              <c:numCache>
                <c:formatCode>General</c:formatCode>
                <c:ptCount val="8"/>
                <c:pt idx="0">
                  <c:v>1635.467730120028</c:v>
                </c:pt>
                <c:pt idx="1">
                  <c:v>1474.260027672259</c:v>
                </c:pt>
                <c:pt idx="2">
                  <c:v>1197.44163220892</c:v>
                </c:pt>
                <c:pt idx="3">
                  <c:v>943.088388915193</c:v>
                </c:pt>
                <c:pt idx="4">
                  <c:v>734.9615208142883</c:v>
                </c:pt>
                <c:pt idx="5">
                  <c:v>607.9644184230419</c:v>
                </c:pt>
                <c:pt idx="6">
                  <c:v>557.9723759389652</c:v>
                </c:pt>
                <c:pt idx="7">
                  <c:v>490.981153838221</c:v>
                </c:pt>
              </c:numCache>
            </c:numRef>
          </c:xVal>
          <c:yVal>
            <c:numRef>
              <c:f>'4230-400Kv'!$H$36:$H$43</c:f>
              <c:numCache>
                <c:formatCode>General</c:formatCode>
                <c:ptCount val="8"/>
                <c:pt idx="0">
                  <c:v>79.9082355544133</c:v>
                </c:pt>
                <c:pt idx="1">
                  <c:v>80.09629244978361</c:v>
                </c:pt>
                <c:pt idx="2">
                  <c:v>80.25549702821431</c:v>
                </c:pt>
                <c:pt idx="3">
                  <c:v>80.04814437145387</c:v>
                </c:pt>
                <c:pt idx="4">
                  <c:v>79.3370576099419</c:v>
                </c:pt>
                <c:pt idx="5">
                  <c:v>78.42342865845498</c:v>
                </c:pt>
                <c:pt idx="6">
                  <c:v>77.89699631067302</c:v>
                </c:pt>
                <c:pt idx="7">
                  <c:v>76.97527555406216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'4230-400Kv'!$K$55:$K$62</c:f>
              <c:numCache>
                <c:formatCode>General</c:formatCode>
                <c:ptCount val="8"/>
                <c:pt idx="0">
                  <c:v>1563.405306180387</c:v>
                </c:pt>
                <c:pt idx="1">
                  <c:v>1263.811034770867</c:v>
                </c:pt>
                <c:pt idx="2">
                  <c:v>1023.575076168981</c:v>
                </c:pt>
                <c:pt idx="3">
                  <c:v>803.667328119988</c:v>
                </c:pt>
                <c:pt idx="4">
                  <c:v>741.8898892523586</c:v>
                </c:pt>
                <c:pt idx="5">
                  <c:v>605.6676232703447</c:v>
                </c:pt>
                <c:pt idx="6">
                  <c:v>515.4348964544726</c:v>
                </c:pt>
                <c:pt idx="7">
                  <c:v>493.8306529312606</c:v>
                </c:pt>
              </c:numCache>
            </c:numRef>
          </c:xVal>
          <c:yVal>
            <c:numRef>
              <c:f>'4230-400Kv'!$H$55:$H$62</c:f>
              <c:numCache>
                <c:formatCode>General</c:formatCode>
                <c:ptCount val="8"/>
                <c:pt idx="0">
                  <c:v>80.86982637197868</c:v>
                </c:pt>
                <c:pt idx="1">
                  <c:v>81.10072316969448</c:v>
                </c:pt>
                <c:pt idx="2">
                  <c:v>81.02139550729748</c:v>
                </c:pt>
                <c:pt idx="3">
                  <c:v>80.51184465991438</c:v>
                </c:pt>
                <c:pt idx="4">
                  <c:v>80.23681700794073</c:v>
                </c:pt>
                <c:pt idx="5">
                  <c:v>79.2835512500791</c:v>
                </c:pt>
                <c:pt idx="6">
                  <c:v>78.24822700958216</c:v>
                </c:pt>
                <c:pt idx="7">
                  <c:v>77.9301596439414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'4230-400Kv'!$K$73:$K$78</c:f>
              <c:numCache>
                <c:formatCode>General</c:formatCode>
                <c:ptCount val="6"/>
                <c:pt idx="0">
                  <c:v>1471.991926190925</c:v>
                </c:pt>
                <c:pt idx="1">
                  <c:v>1077.194276255228</c:v>
                </c:pt>
                <c:pt idx="2">
                  <c:v>703.7783705289767</c:v>
                </c:pt>
                <c:pt idx="3">
                  <c:v>679.3979650237753</c:v>
                </c:pt>
                <c:pt idx="4">
                  <c:v>562.482265428881</c:v>
                </c:pt>
                <c:pt idx="5">
                  <c:v>470.9960039255073</c:v>
                </c:pt>
              </c:numCache>
            </c:numRef>
          </c:xVal>
          <c:yVal>
            <c:numRef>
              <c:f>'4230-400Kv'!$H$73:$H$78</c:f>
              <c:numCache>
                <c:formatCode>General</c:formatCode>
                <c:ptCount val="6"/>
                <c:pt idx="0">
                  <c:v>76.39424653666049</c:v>
                </c:pt>
                <c:pt idx="1">
                  <c:v>77.10993456824843</c:v>
                </c:pt>
                <c:pt idx="2">
                  <c:v>76.89286462498743</c:v>
                </c:pt>
                <c:pt idx="3">
                  <c:v>76.80557373609088</c:v>
                </c:pt>
                <c:pt idx="4">
                  <c:v>76.14038594990965</c:v>
                </c:pt>
                <c:pt idx="5">
                  <c:v>75.19576723586574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'4230-400Kv'!$K$89:$K$99</c:f>
              <c:numCache>
                <c:formatCode>General</c:formatCode>
                <c:ptCount val="11"/>
                <c:pt idx="0">
                  <c:v>1781.233153306086</c:v>
                </c:pt>
                <c:pt idx="1">
                  <c:v>1444.05066538467</c:v>
                </c:pt>
                <c:pt idx="2">
                  <c:v>1269.244241987204</c:v>
                </c:pt>
                <c:pt idx="3">
                  <c:v>1103.79114110402</c:v>
                </c:pt>
                <c:pt idx="4">
                  <c:v>948.041341031583</c:v>
                </c:pt>
                <c:pt idx="5">
                  <c:v>849.7817654135328</c:v>
                </c:pt>
                <c:pt idx="6">
                  <c:v>769.8683239779174</c:v>
                </c:pt>
                <c:pt idx="7">
                  <c:v>802.367205808198</c:v>
                </c:pt>
                <c:pt idx="8">
                  <c:v>711.0435877358573</c:v>
                </c:pt>
                <c:pt idx="9">
                  <c:v>624.4979263156461</c:v>
                </c:pt>
                <c:pt idx="10">
                  <c:v>511.6090213233264</c:v>
                </c:pt>
              </c:numCache>
            </c:numRef>
          </c:xVal>
          <c:yVal>
            <c:numRef>
              <c:f>'4230-400Kv'!$H$89:$H$99</c:f>
              <c:numCache>
                <c:formatCode>General</c:formatCode>
                <c:ptCount val="11"/>
                <c:pt idx="0">
                  <c:v>83.69596864860885</c:v>
                </c:pt>
                <c:pt idx="1">
                  <c:v>83.66237669067826</c:v>
                </c:pt>
                <c:pt idx="2">
                  <c:v>83.49576737006727</c:v>
                </c:pt>
                <c:pt idx="3">
                  <c:v>83.18039670548498</c:v>
                </c:pt>
                <c:pt idx="4">
                  <c:v>82.66648020543774</c:v>
                </c:pt>
                <c:pt idx="5">
                  <c:v>82.18002338993105</c:v>
                </c:pt>
                <c:pt idx="6">
                  <c:v>81.65256379411443</c:v>
                </c:pt>
                <c:pt idx="7">
                  <c:v>81.88383525689808</c:v>
                </c:pt>
                <c:pt idx="8">
                  <c:v>81.16467807482995</c:v>
                </c:pt>
                <c:pt idx="9">
                  <c:v>80.24166338408946</c:v>
                </c:pt>
                <c:pt idx="10">
                  <c:v>78.50355925197054</c:v>
                </c:pt>
              </c:numCache>
            </c:numRef>
          </c:yVal>
          <c:smooth val="1"/>
        </c:ser>
        <c:axId val="731225752"/>
        <c:axId val="731228904"/>
      </c:scatterChart>
      <c:valAx>
        <c:axId val="731225752"/>
        <c:scaling>
          <c:orientation val="minMax"/>
        </c:scaling>
        <c:axPos val="b"/>
        <c:numFmt formatCode="General" sourceLinked="1"/>
        <c:tickLblPos val="nextTo"/>
        <c:crossAx val="731228904"/>
        <c:crosses val="autoZero"/>
        <c:crossBetween val="midCat"/>
      </c:valAx>
      <c:valAx>
        <c:axId val="731228904"/>
        <c:scaling>
          <c:orientation val="minMax"/>
        </c:scaling>
        <c:axPos val="l"/>
        <c:majorGridlines/>
        <c:numFmt formatCode="General" sourceLinked="1"/>
        <c:tickLblPos val="nextTo"/>
        <c:crossAx val="7312257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temps de vol à 65% des 5Ah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'4230-400Kv'!$K$14:$K$24</c:f>
              <c:numCache>
                <c:formatCode>General</c:formatCode>
                <c:ptCount val="11"/>
                <c:pt idx="0">
                  <c:v>1743.255343224791</c:v>
                </c:pt>
                <c:pt idx="1">
                  <c:v>1642.937705486937</c:v>
                </c:pt>
                <c:pt idx="2">
                  <c:v>1577.366645571423</c:v>
                </c:pt>
                <c:pt idx="3">
                  <c:v>1444.186106940999</c:v>
                </c:pt>
                <c:pt idx="4">
                  <c:v>1315.740306528026</c:v>
                </c:pt>
                <c:pt idx="5">
                  <c:v>1192.161706158917</c:v>
                </c:pt>
                <c:pt idx="6">
                  <c:v>1073.58906171323</c:v>
                </c:pt>
                <c:pt idx="7">
                  <c:v>1007.167690783231</c:v>
                </c:pt>
                <c:pt idx="8">
                  <c:v>852.0507332927401</c:v>
                </c:pt>
                <c:pt idx="9">
                  <c:v>749.3980667584188</c:v>
                </c:pt>
                <c:pt idx="10">
                  <c:v>707.9537008492396</c:v>
                </c:pt>
              </c:numCache>
            </c:numRef>
          </c:xVal>
          <c:yVal>
            <c:numRef>
              <c:f>'4230-400Kv'!$O$14:$O$24</c:f>
              <c:numCache>
                <c:formatCode>General</c:formatCode>
                <c:ptCount val="11"/>
                <c:pt idx="0">
                  <c:v>6.628136577213304</c:v>
                </c:pt>
                <c:pt idx="1">
                  <c:v>7.011023456363973</c:v>
                </c:pt>
                <c:pt idx="2">
                  <c:v>7.286136541987772</c:v>
                </c:pt>
                <c:pt idx="3">
                  <c:v>7.917132068963006</c:v>
                </c:pt>
                <c:pt idx="4">
                  <c:v>8.638662449172013</c:v>
                </c:pt>
                <c:pt idx="5">
                  <c:v>9.468915197895047</c:v>
                </c:pt>
                <c:pt idx="6">
                  <c:v>10.43079904018875</c:v>
                </c:pt>
                <c:pt idx="7">
                  <c:v>11.06017128178937</c:v>
                </c:pt>
                <c:pt idx="8">
                  <c:v>12.87428529293536</c:v>
                </c:pt>
                <c:pt idx="9">
                  <c:v>14.44189468169067</c:v>
                </c:pt>
                <c:pt idx="10">
                  <c:v>15.18856110849683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'4230-400Kv'!$K$36:$K$43</c:f>
              <c:numCache>
                <c:formatCode>General</c:formatCode>
                <c:ptCount val="8"/>
                <c:pt idx="0">
                  <c:v>1635.467730120028</c:v>
                </c:pt>
                <c:pt idx="1">
                  <c:v>1474.260027672259</c:v>
                </c:pt>
                <c:pt idx="2">
                  <c:v>1197.44163220892</c:v>
                </c:pt>
                <c:pt idx="3">
                  <c:v>943.088388915193</c:v>
                </c:pt>
                <c:pt idx="4">
                  <c:v>734.9615208142883</c:v>
                </c:pt>
                <c:pt idx="5">
                  <c:v>607.9644184230419</c:v>
                </c:pt>
                <c:pt idx="6">
                  <c:v>557.9723759389652</c:v>
                </c:pt>
                <c:pt idx="7">
                  <c:v>490.981153838221</c:v>
                </c:pt>
              </c:numCache>
            </c:numRef>
          </c:xVal>
          <c:yVal>
            <c:numRef>
              <c:f>'4230-400Kv'!$O$36:$O$43</c:f>
              <c:numCache>
                <c:formatCode>General</c:formatCode>
                <c:ptCount val="8"/>
                <c:pt idx="0">
                  <c:v>6.054318195819976</c:v>
                </c:pt>
                <c:pt idx="1">
                  <c:v>6.682317183384785</c:v>
                </c:pt>
                <c:pt idx="2">
                  <c:v>8.130486708187532</c:v>
                </c:pt>
                <c:pt idx="3">
                  <c:v>10.15205613651975</c:v>
                </c:pt>
                <c:pt idx="4">
                  <c:v>12.74507279363705</c:v>
                </c:pt>
                <c:pt idx="5">
                  <c:v>15.09817899850066</c:v>
                </c:pt>
                <c:pt idx="6">
                  <c:v>16.28149447184555</c:v>
                </c:pt>
                <c:pt idx="7">
                  <c:v>18.19212358541123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'4230-400Kv'!$K$55:$K$62</c:f>
              <c:numCache>
                <c:formatCode>General</c:formatCode>
                <c:ptCount val="8"/>
                <c:pt idx="0">
                  <c:v>1563.405306180387</c:v>
                </c:pt>
                <c:pt idx="1">
                  <c:v>1263.811034770867</c:v>
                </c:pt>
                <c:pt idx="2">
                  <c:v>1023.575076168981</c:v>
                </c:pt>
                <c:pt idx="3">
                  <c:v>803.667328119988</c:v>
                </c:pt>
                <c:pt idx="4">
                  <c:v>741.8898892523586</c:v>
                </c:pt>
                <c:pt idx="5">
                  <c:v>605.6676232703447</c:v>
                </c:pt>
                <c:pt idx="6">
                  <c:v>515.4348964544726</c:v>
                </c:pt>
                <c:pt idx="7">
                  <c:v>493.8306529312606</c:v>
                </c:pt>
              </c:numCache>
            </c:numRef>
          </c:xVal>
          <c:yVal>
            <c:numRef>
              <c:f>'4230-400Kv'!$O$55:$O$62</c:f>
              <c:numCache>
                <c:formatCode>General</c:formatCode>
                <c:ptCount val="8"/>
                <c:pt idx="0">
                  <c:v>6.082678368316529</c:v>
                </c:pt>
                <c:pt idx="1">
                  <c:v>7.44206903292847</c:v>
                </c:pt>
                <c:pt idx="2">
                  <c:v>9.06692086209599</c:v>
                </c:pt>
                <c:pt idx="3">
                  <c:v>11.33164655642379</c:v>
                </c:pt>
                <c:pt idx="4">
                  <c:v>12.18678048737434</c:v>
                </c:pt>
                <c:pt idx="5">
                  <c:v>14.61949866149017</c:v>
                </c:pt>
                <c:pt idx="6">
                  <c:v>16.84713828023255</c:v>
                </c:pt>
                <c:pt idx="7">
                  <c:v>17.48504044621689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'4230-400Kv'!$K$73:$K$78</c:f>
              <c:numCache>
                <c:formatCode>General</c:formatCode>
                <c:ptCount val="6"/>
                <c:pt idx="0">
                  <c:v>1471.991926190925</c:v>
                </c:pt>
                <c:pt idx="1">
                  <c:v>1077.194276255228</c:v>
                </c:pt>
                <c:pt idx="2">
                  <c:v>703.7783705289767</c:v>
                </c:pt>
                <c:pt idx="3">
                  <c:v>679.3979650237753</c:v>
                </c:pt>
                <c:pt idx="4">
                  <c:v>562.482265428881</c:v>
                </c:pt>
                <c:pt idx="5">
                  <c:v>470.9960039255073</c:v>
                </c:pt>
              </c:numCache>
            </c:numRef>
          </c:xVal>
          <c:yVal>
            <c:numRef>
              <c:f>'4230-400Kv'!$O$73:$O$78</c:f>
              <c:numCache>
                <c:formatCode>General</c:formatCode>
                <c:ptCount val="6"/>
                <c:pt idx="0">
                  <c:v>6.034005281818834</c:v>
                </c:pt>
                <c:pt idx="1">
                  <c:v>8.107579369593155</c:v>
                </c:pt>
                <c:pt idx="2">
                  <c:v>12.01187812423319</c:v>
                </c:pt>
                <c:pt idx="3">
                  <c:v>12.40180655135856</c:v>
                </c:pt>
                <c:pt idx="4">
                  <c:v>14.68834652764676</c:v>
                </c:pt>
                <c:pt idx="5">
                  <c:v>17.16470317139221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'4230-400Kv'!$K$89:$K$99</c:f>
              <c:numCache>
                <c:formatCode>General</c:formatCode>
                <c:ptCount val="11"/>
                <c:pt idx="0">
                  <c:v>1781.233153306086</c:v>
                </c:pt>
                <c:pt idx="1">
                  <c:v>1444.05066538467</c:v>
                </c:pt>
                <c:pt idx="2">
                  <c:v>1269.244241987204</c:v>
                </c:pt>
                <c:pt idx="3">
                  <c:v>1103.79114110402</c:v>
                </c:pt>
                <c:pt idx="4">
                  <c:v>948.041341031583</c:v>
                </c:pt>
                <c:pt idx="5">
                  <c:v>849.7817654135328</c:v>
                </c:pt>
                <c:pt idx="6">
                  <c:v>769.8683239779174</c:v>
                </c:pt>
                <c:pt idx="7">
                  <c:v>802.367205808198</c:v>
                </c:pt>
                <c:pt idx="8">
                  <c:v>711.0435877358573</c:v>
                </c:pt>
                <c:pt idx="9">
                  <c:v>624.4979263156461</c:v>
                </c:pt>
                <c:pt idx="10">
                  <c:v>511.6090213233264</c:v>
                </c:pt>
              </c:numCache>
            </c:numRef>
          </c:xVal>
          <c:yVal>
            <c:numRef>
              <c:f>'4230-400Kv'!$O$89:$O$99</c:f>
              <c:numCache>
                <c:formatCode>General</c:formatCode>
                <c:ptCount val="11"/>
                <c:pt idx="0">
                  <c:v>6.290554119959525</c:v>
                </c:pt>
                <c:pt idx="1">
                  <c:v>7.672692564423868</c:v>
                </c:pt>
                <c:pt idx="2">
                  <c:v>8.659026790775728</c:v>
                </c:pt>
                <c:pt idx="3">
                  <c:v>9.858544398444706</c:v>
                </c:pt>
                <c:pt idx="4">
                  <c:v>11.3369216688152</c:v>
                </c:pt>
                <c:pt idx="5">
                  <c:v>12.52153747772813</c:v>
                </c:pt>
                <c:pt idx="6">
                  <c:v>13.68447232240131</c:v>
                </c:pt>
                <c:pt idx="7">
                  <c:v>13.18642193897604</c:v>
                </c:pt>
                <c:pt idx="8">
                  <c:v>14.68867283372535</c:v>
                </c:pt>
                <c:pt idx="9">
                  <c:v>16.46645161232386</c:v>
                </c:pt>
                <c:pt idx="10">
                  <c:v>19.5533496562327</c:v>
                </c:pt>
              </c:numCache>
            </c:numRef>
          </c:yVal>
          <c:smooth val="1"/>
        </c:ser>
        <c:axId val="731148728"/>
        <c:axId val="731151880"/>
      </c:scatterChart>
      <c:valAx>
        <c:axId val="731148728"/>
        <c:scaling>
          <c:orientation val="minMax"/>
        </c:scaling>
        <c:axPos val="b"/>
        <c:numFmt formatCode="General" sourceLinked="1"/>
        <c:tickLblPos val="nextTo"/>
        <c:crossAx val="731151880"/>
        <c:crosses val="autoZero"/>
        <c:crossBetween val="midCat"/>
      </c:valAx>
      <c:valAx>
        <c:axId val="731151880"/>
        <c:scaling>
          <c:orientation val="minMax"/>
        </c:scaling>
        <c:axPos val="l"/>
        <c:majorGridlines/>
        <c:numFmt formatCode="General" sourceLinked="1"/>
        <c:tickLblPos val="nextTo"/>
        <c:crossAx val="7311487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globale (grs/W)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'4822-390Kv'!$F$14:$F$24</c:f>
              <c:numCache>
                <c:formatCode>General</c:formatCode>
                <c:ptCount val="11"/>
                <c:pt idx="0">
                  <c:v>199.35276193724</c:v>
                </c:pt>
                <c:pt idx="1">
                  <c:v>199.35276193724</c:v>
                </c:pt>
                <c:pt idx="2">
                  <c:v>191.1896027809698</c:v>
                </c:pt>
                <c:pt idx="3">
                  <c:v>165.5342426855112</c:v>
                </c:pt>
                <c:pt idx="4">
                  <c:v>142.202234281846</c:v>
                </c:pt>
                <c:pt idx="5">
                  <c:v>121.1012807846589</c:v>
                </c:pt>
                <c:pt idx="6">
                  <c:v>111.3579180286927</c:v>
                </c:pt>
                <c:pt idx="7">
                  <c:v>99.9113431644563</c:v>
                </c:pt>
                <c:pt idx="8">
                  <c:v>77.48092939734537</c:v>
                </c:pt>
                <c:pt idx="9">
                  <c:v>63.42427454976443</c:v>
                </c:pt>
                <c:pt idx="10">
                  <c:v>57.68676492362462</c:v>
                </c:pt>
              </c:numCache>
            </c:numRef>
          </c:xVal>
          <c:yVal>
            <c:numRef>
              <c:f>'4822-390Kv'!$L$14:$L$24</c:f>
              <c:numCache>
                <c:formatCode>General</c:formatCode>
                <c:ptCount val="11"/>
                <c:pt idx="0">
                  <c:v>7.685732417133514</c:v>
                </c:pt>
                <c:pt idx="1">
                  <c:v>7.685732417133514</c:v>
                </c:pt>
                <c:pt idx="2">
                  <c:v>7.795457750920172</c:v>
                </c:pt>
                <c:pt idx="3">
                  <c:v>8.18431809449755</c:v>
                </c:pt>
                <c:pt idx="4">
                  <c:v>8.61276356092569</c:v>
                </c:pt>
                <c:pt idx="5">
                  <c:v>9.086911169587338</c:v>
                </c:pt>
                <c:pt idx="6">
                  <c:v>9.343369854415</c:v>
                </c:pt>
                <c:pt idx="7">
                  <c:v>9.68419184732587</c:v>
                </c:pt>
                <c:pt idx="8">
                  <c:v>10.5245371921554</c:v>
                </c:pt>
                <c:pt idx="9">
                  <c:v>11.22791074133989</c:v>
                </c:pt>
                <c:pt idx="10">
                  <c:v>11.57407625166237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'4822-390Kv'!$F$36:$F$43</c:f>
              <c:numCache>
                <c:formatCode>General</c:formatCode>
                <c:ptCount val="8"/>
                <c:pt idx="0">
                  <c:v>167.5377985542559</c:v>
                </c:pt>
                <c:pt idx="1">
                  <c:v>151.2564002661788</c:v>
                </c:pt>
                <c:pt idx="2">
                  <c:v>126.4184634230173</c:v>
                </c:pt>
                <c:pt idx="3">
                  <c:v>104.3429576063919</c:v>
                </c:pt>
                <c:pt idx="4">
                  <c:v>79.55816195966004</c:v>
                </c:pt>
                <c:pt idx="5">
                  <c:v>67.94887496570773</c:v>
                </c:pt>
                <c:pt idx="6">
                  <c:v>53.35113326963339</c:v>
                </c:pt>
                <c:pt idx="7">
                  <c:v>41.1840113887995</c:v>
                </c:pt>
              </c:numCache>
            </c:numRef>
          </c:xVal>
          <c:yVal>
            <c:numRef>
              <c:f>'4822-390Kv'!$L$36:$L$43</c:f>
              <c:numCache>
                <c:formatCode>General</c:formatCode>
                <c:ptCount val="8"/>
                <c:pt idx="0">
                  <c:v>8.022665473754486</c:v>
                </c:pt>
                <c:pt idx="1">
                  <c:v>8.3092225590019</c:v>
                </c:pt>
                <c:pt idx="2">
                  <c:v>8.833872234316757</c:v>
                </c:pt>
                <c:pt idx="3">
                  <c:v>9.427018319492976</c:v>
                </c:pt>
                <c:pt idx="4">
                  <c:v>10.32355142165049</c:v>
                </c:pt>
                <c:pt idx="5">
                  <c:v>10.87747442863525</c:v>
                </c:pt>
                <c:pt idx="6">
                  <c:v>11.77453768813771</c:v>
                </c:pt>
                <c:pt idx="7">
                  <c:v>12.79967531676213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'4822-390Kv'!$F$55:$F$62</c:f>
              <c:numCache>
                <c:formatCode>General</c:formatCode>
                <c:ptCount val="8"/>
                <c:pt idx="0">
                  <c:v>177.4118081354838</c:v>
                </c:pt>
                <c:pt idx="1">
                  <c:v>158.5370866607621</c:v>
                </c:pt>
                <c:pt idx="2">
                  <c:v>133.8698891632734</c:v>
                </c:pt>
                <c:pt idx="3">
                  <c:v>111.801606332973</c:v>
                </c:pt>
                <c:pt idx="4">
                  <c:v>91.297468787224</c:v>
                </c:pt>
                <c:pt idx="5">
                  <c:v>74.98418116598135</c:v>
                </c:pt>
                <c:pt idx="6">
                  <c:v>59.98516944371812</c:v>
                </c:pt>
                <c:pt idx="7">
                  <c:v>47.08479998489167</c:v>
                </c:pt>
              </c:numCache>
            </c:numRef>
          </c:xVal>
          <c:yVal>
            <c:numRef>
              <c:f>'4822-390Kv'!$L$55:$L$62</c:f>
              <c:numCache>
                <c:formatCode>General</c:formatCode>
                <c:ptCount val="8"/>
                <c:pt idx="0">
                  <c:v>7.226628799862578</c:v>
                </c:pt>
                <c:pt idx="1">
                  <c:v>7.509799368922001</c:v>
                </c:pt>
                <c:pt idx="2">
                  <c:v>7.95397339570476</c:v>
                </c:pt>
                <c:pt idx="3">
                  <c:v>8.45221383366106</c:v>
                </c:pt>
                <c:pt idx="4">
                  <c:v>9.044601333552617</c:v>
                </c:pt>
                <c:pt idx="5">
                  <c:v>9.653653138030092</c:v>
                </c:pt>
                <c:pt idx="6">
                  <c:v>10.38520941939905</c:v>
                </c:pt>
                <c:pt idx="7">
                  <c:v>11.22922771986691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'4822-390Kv'!$F$73:$F$78</c:f>
              <c:numCache>
                <c:formatCode>General</c:formatCode>
                <c:ptCount val="6"/>
                <c:pt idx="0">
                  <c:v>139.5457544465848</c:v>
                </c:pt>
                <c:pt idx="1">
                  <c:v>101.0440723646557</c:v>
                </c:pt>
                <c:pt idx="2">
                  <c:v>75.64783241309296</c:v>
                </c:pt>
                <c:pt idx="3">
                  <c:v>61.21647830173746</c:v>
                </c:pt>
                <c:pt idx="4">
                  <c:v>45.81397414337908</c:v>
                </c:pt>
                <c:pt idx="5">
                  <c:v>38.27262188036095</c:v>
                </c:pt>
              </c:numCache>
            </c:numRef>
          </c:xVal>
          <c:yVal>
            <c:numRef>
              <c:f>'4822-390Kv'!$L$73:$L$78</c:f>
              <c:numCache>
                <c:formatCode>General</c:formatCode>
                <c:ptCount val="6"/>
                <c:pt idx="0">
                  <c:v>8.852911554557694</c:v>
                </c:pt>
                <c:pt idx="1">
                  <c:v>9.90334555016281</c:v>
                </c:pt>
                <c:pt idx="2">
                  <c:v>10.93565564160807</c:v>
                </c:pt>
                <c:pt idx="3">
                  <c:v>11.74746977193513</c:v>
                </c:pt>
                <c:pt idx="4">
                  <c:v>12.94016142382924</c:v>
                </c:pt>
                <c:pt idx="5">
                  <c:v>13.72861803229981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'4822-390Kv'!$F$89:$F$99</c:f>
              <c:numCache>
                <c:formatCode>General</c:formatCode>
                <c:ptCount val="11"/>
                <c:pt idx="0">
                  <c:v>213.4422962835648</c:v>
                </c:pt>
                <c:pt idx="1">
                  <c:v>189.6318132396098</c:v>
                </c:pt>
                <c:pt idx="2">
                  <c:v>177.1769988650092</c:v>
                </c:pt>
                <c:pt idx="3">
                  <c:v>143.010274937335</c:v>
                </c:pt>
                <c:pt idx="4">
                  <c:v>122.7948260019338</c:v>
                </c:pt>
                <c:pt idx="5">
                  <c:v>104.5314294993374</c:v>
                </c:pt>
                <c:pt idx="6">
                  <c:v>90.47806467579368</c:v>
                </c:pt>
                <c:pt idx="7">
                  <c:v>88.13395044723377</c:v>
                </c:pt>
                <c:pt idx="8">
                  <c:v>73.51414934794672</c:v>
                </c:pt>
                <c:pt idx="9">
                  <c:v>60.58159976544651</c:v>
                </c:pt>
                <c:pt idx="10">
                  <c:v>46.13899071685321</c:v>
                </c:pt>
              </c:numCache>
            </c:numRef>
          </c:xVal>
          <c:yVal>
            <c:numRef>
              <c:f>'4822-390Kv'!$L$89:$L$99</c:f>
              <c:numCache>
                <c:formatCode>General</c:formatCode>
                <c:ptCount val="11"/>
                <c:pt idx="0">
                  <c:v>6.888448115696966</c:v>
                </c:pt>
                <c:pt idx="1">
                  <c:v>7.168669103460625</c:v>
                </c:pt>
                <c:pt idx="2">
                  <c:v>7.334144556598311</c:v>
                </c:pt>
                <c:pt idx="3">
                  <c:v>7.878209379780297</c:v>
                </c:pt>
                <c:pt idx="4">
                  <c:v>8.286366194631384</c:v>
                </c:pt>
                <c:pt idx="5">
                  <c:v>8.737267866683931</c:v>
                </c:pt>
                <c:pt idx="6">
                  <c:v>9.15909811643674</c:v>
                </c:pt>
                <c:pt idx="7">
                  <c:v>9.237596897637356</c:v>
                </c:pt>
                <c:pt idx="8">
                  <c:v>9.795374688474064</c:v>
                </c:pt>
                <c:pt idx="9">
                  <c:v>10.42025407113867</c:v>
                </c:pt>
                <c:pt idx="10">
                  <c:v>11.3522970933084</c:v>
                </c:pt>
              </c:numCache>
            </c:numRef>
          </c:yVal>
          <c:smooth val="1"/>
        </c:ser>
        <c:axId val="731050056"/>
        <c:axId val="731039128"/>
      </c:scatterChart>
      <c:valAx>
        <c:axId val="731050056"/>
        <c:scaling>
          <c:orientation val="minMax"/>
        </c:scaling>
        <c:axPos val="b"/>
        <c:numFmt formatCode="General" sourceLinked="1"/>
        <c:tickLblPos val="nextTo"/>
        <c:crossAx val="731039128"/>
        <c:crosses val="autoZero"/>
        <c:crossBetween val="midCat"/>
      </c:valAx>
      <c:valAx>
        <c:axId val="731039128"/>
        <c:scaling>
          <c:orientation val="minMax"/>
        </c:scaling>
        <c:axPos val="l"/>
        <c:majorGridlines/>
        <c:numFmt formatCode="General" sourceLinked="1"/>
        <c:tickLblPos val="nextTo"/>
        <c:crossAx val="7310500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mécanique (grs/W)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'4230-400Kv'!$G$14:$G$24</c:f>
              <c:numCache>
                <c:formatCode>General</c:formatCode>
                <c:ptCount val="11"/>
                <c:pt idx="0">
                  <c:v>216.3878178125023</c:v>
                </c:pt>
                <c:pt idx="1">
                  <c:v>197.9807407768828</c:v>
                </c:pt>
                <c:pt idx="2">
                  <c:v>186.2474260234112</c:v>
                </c:pt>
                <c:pt idx="3">
                  <c:v>163.1646387852097</c:v>
                </c:pt>
                <c:pt idx="4">
                  <c:v>141.8882944551413</c:v>
                </c:pt>
                <c:pt idx="5">
                  <c:v>122.3753793527545</c:v>
                </c:pt>
                <c:pt idx="6">
                  <c:v>104.5799468415117</c:v>
                </c:pt>
                <c:pt idx="7">
                  <c:v>95.02633462635858</c:v>
                </c:pt>
                <c:pt idx="8">
                  <c:v>73.94170855792792</c:v>
                </c:pt>
                <c:pt idx="9">
                  <c:v>60.99021331185659</c:v>
                </c:pt>
                <c:pt idx="10">
                  <c:v>56.00136132125207</c:v>
                </c:pt>
              </c:numCache>
            </c:numRef>
          </c:xVal>
          <c:yVal>
            <c:numRef>
              <c:f>'4230-400Kv'!$L$14:$L$24</c:f>
              <c:numCache>
                <c:formatCode>General</c:formatCode>
                <c:ptCount val="11"/>
                <c:pt idx="0">
                  <c:v>6.672750348724168</c:v>
                </c:pt>
                <c:pt idx="1">
                  <c:v>6.875014796419877</c:v>
                </c:pt>
                <c:pt idx="2">
                  <c:v>7.016427812216494</c:v>
                </c:pt>
                <c:pt idx="3">
                  <c:v>7.329366756931683</c:v>
                </c:pt>
                <c:pt idx="4">
                  <c:v>7.669525221906703</c:v>
                </c:pt>
                <c:pt idx="5">
                  <c:v>8.040226565382234</c:v>
                </c:pt>
                <c:pt idx="6">
                  <c:v>8.445242650434007</c:v>
                </c:pt>
                <c:pt idx="7">
                  <c:v>8.697528943398296</c:v>
                </c:pt>
                <c:pt idx="8">
                  <c:v>9.375678824329497</c:v>
                </c:pt>
                <c:pt idx="9">
                  <c:v>9.910923035519854</c:v>
                </c:pt>
                <c:pt idx="10">
                  <c:v>10.15142748322869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'4230-400Kv'!$G$36:$G$43</c:f>
              <c:numCache>
                <c:formatCode>General</c:formatCode>
                <c:ptCount val="8"/>
                <c:pt idx="0">
                  <c:v>196.6320326724116</c:v>
                </c:pt>
                <c:pt idx="1">
                  <c:v>168.2877234249069</c:v>
                </c:pt>
                <c:pt idx="2">
                  <c:v>123.1892553127845</c:v>
                </c:pt>
                <c:pt idx="3">
                  <c:v>86.10331983801831</c:v>
                </c:pt>
                <c:pt idx="4">
                  <c:v>59.23633802963643</c:v>
                </c:pt>
                <c:pt idx="5">
                  <c:v>44.56650155998047</c:v>
                </c:pt>
                <c:pt idx="6">
                  <c:v>39.18414251760611</c:v>
                </c:pt>
                <c:pt idx="7">
                  <c:v>32.34361307918471</c:v>
                </c:pt>
              </c:numCache>
            </c:numRef>
          </c:xVal>
          <c:yVal>
            <c:numRef>
              <c:f>'4230-400Kv'!$L$36:$L$43</c:f>
              <c:numCache>
                <c:formatCode>General</c:formatCode>
                <c:ptCount val="8"/>
                <c:pt idx="0">
                  <c:v>6.646289459754382</c:v>
                </c:pt>
                <c:pt idx="1">
                  <c:v>7.016718743370131</c:v>
                </c:pt>
                <c:pt idx="2">
                  <c:v>7.801108393032858</c:v>
                </c:pt>
                <c:pt idx="3">
                  <c:v>8.767661415720703</c:v>
                </c:pt>
                <c:pt idx="4">
                  <c:v>9.84356671216929</c:v>
                </c:pt>
                <c:pt idx="5">
                  <c:v>10.69831656651566</c:v>
                </c:pt>
                <c:pt idx="6">
                  <c:v>11.09233718472868</c:v>
                </c:pt>
                <c:pt idx="7">
                  <c:v>11.68496837877122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'4230-400Kv'!$G$55:$G$62</c:f>
              <c:numCache>
                <c:formatCode>General</c:formatCode>
                <c:ptCount val="8"/>
                <c:pt idx="0">
                  <c:v>210.5146373419553</c:v>
                </c:pt>
                <c:pt idx="1">
                  <c:v>153.0023637599136</c:v>
                </c:pt>
                <c:pt idx="2">
                  <c:v>111.5204413174206</c:v>
                </c:pt>
                <c:pt idx="3">
                  <c:v>77.58707786273673</c:v>
                </c:pt>
                <c:pt idx="4">
                  <c:v>68.81515690184406</c:v>
                </c:pt>
                <c:pt idx="5">
                  <c:v>50.76056688971977</c:v>
                </c:pt>
                <c:pt idx="6">
                  <c:v>39.85067235602627</c:v>
                </c:pt>
                <c:pt idx="7">
                  <c:v>37.37162579774468</c:v>
                </c:pt>
              </c:numCache>
            </c:numRef>
          </c:xVal>
          <c:yVal>
            <c:numRef>
              <c:f>'4230-400Kv'!$L$55:$L$62</c:f>
              <c:numCache>
                <c:formatCode>General</c:formatCode>
                <c:ptCount val="8"/>
                <c:pt idx="0">
                  <c:v>6.005868155118555</c:v>
                </c:pt>
                <c:pt idx="1">
                  <c:v>6.698980744545269</c:v>
                </c:pt>
                <c:pt idx="2">
                  <c:v>7.436437669902267</c:v>
                </c:pt>
                <c:pt idx="3">
                  <c:v>8.339628306960778</c:v>
                </c:pt>
                <c:pt idx="4">
                  <c:v>8.650257583353378</c:v>
                </c:pt>
                <c:pt idx="5">
                  <c:v>9.459996803107625</c:v>
                </c:pt>
                <c:pt idx="6">
                  <c:v>10.12074938814201</c:v>
                </c:pt>
                <c:pt idx="7">
                  <c:v>10.29773278483576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'4230-400Kv'!$G$73:$G$78</c:f>
              <c:numCache>
                <c:formatCode>General</c:formatCode>
                <c:ptCount val="6"/>
                <c:pt idx="0">
                  <c:v>154.05442130768</c:v>
                </c:pt>
                <c:pt idx="1">
                  <c:v>96.4399731261928</c:v>
                </c:pt>
                <c:pt idx="2">
                  <c:v>50.92955694598784</c:v>
                </c:pt>
                <c:pt idx="3">
                  <c:v>48.30614577485745</c:v>
                </c:pt>
                <c:pt idx="4">
                  <c:v>36.38976710974967</c:v>
                </c:pt>
                <c:pt idx="5">
                  <c:v>27.88315151878151</c:v>
                </c:pt>
              </c:numCache>
            </c:numRef>
          </c:xVal>
          <c:yVal>
            <c:numRef>
              <c:f>'4230-400Kv'!$L$73:$L$78</c:f>
              <c:numCache>
                <c:formatCode>General</c:formatCode>
                <c:ptCount val="6"/>
                <c:pt idx="0">
                  <c:v>7.299479830235633</c:v>
                </c:pt>
                <c:pt idx="1">
                  <c:v>8.612858078117076</c:v>
                </c:pt>
                <c:pt idx="2">
                  <c:v>10.62556562753331</c:v>
                </c:pt>
                <c:pt idx="3">
                  <c:v>10.80225914565581</c:v>
                </c:pt>
                <c:pt idx="4">
                  <c:v>11.76913736506437</c:v>
                </c:pt>
                <c:pt idx="5">
                  <c:v>12.70190202723292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'4230-400Kv'!$G$89:$G$99</c:f>
              <c:numCache>
                <c:formatCode>General</c:formatCode>
                <c:ptCount val="11"/>
                <c:pt idx="0">
                  <c:v>256.3345774051576</c:v>
                </c:pt>
                <c:pt idx="1">
                  <c:v>187.1111571273858</c:v>
                </c:pt>
                <c:pt idx="2">
                  <c:v>154.1856091344614</c:v>
                </c:pt>
                <c:pt idx="3">
                  <c:v>125.0421390169693</c:v>
                </c:pt>
                <c:pt idx="4">
                  <c:v>99.53296739344513</c:v>
                </c:pt>
                <c:pt idx="5">
                  <c:v>84.46701556495368</c:v>
                </c:pt>
                <c:pt idx="6">
                  <c:v>72.83677607379248</c:v>
                </c:pt>
                <c:pt idx="7">
                  <c:v>77.4971609990391</c:v>
                </c:pt>
                <c:pt idx="8">
                  <c:v>64.65027468616207</c:v>
                </c:pt>
                <c:pt idx="9">
                  <c:v>53.21358752838165</c:v>
                </c:pt>
                <c:pt idx="10">
                  <c:v>39.45784194998209</c:v>
                </c:pt>
              </c:numCache>
            </c:numRef>
          </c:xVal>
          <c:yVal>
            <c:numRef>
              <c:f>'4230-400Kv'!$L$89:$L$99</c:f>
              <c:numCache>
                <c:formatCode>General</c:formatCode>
                <c:ptCount val="11"/>
                <c:pt idx="0">
                  <c:v>5.815915888683742</c:v>
                </c:pt>
                <c:pt idx="1">
                  <c:v>6.456734733652854</c:v>
                </c:pt>
                <c:pt idx="2">
                  <c:v>6.873308252285824</c:v>
                </c:pt>
                <c:pt idx="3">
                  <c:v>7.342627510920322</c:v>
                </c:pt>
                <c:pt idx="4">
                  <c:v>7.873897745108846</c:v>
                </c:pt>
                <c:pt idx="5">
                  <c:v>8.267734439406</c:v>
                </c:pt>
                <c:pt idx="6">
                  <c:v>8.630492153165636</c:v>
                </c:pt>
                <c:pt idx="7">
                  <c:v>8.47784657514754</c:v>
                </c:pt>
                <c:pt idx="8">
                  <c:v>8.92674071006008</c:v>
                </c:pt>
                <c:pt idx="9">
                  <c:v>9.416909235964448</c:v>
                </c:pt>
                <c:pt idx="10">
                  <c:v>10.17874448638382</c:v>
                </c:pt>
              </c:numCache>
            </c:numRef>
          </c:yVal>
          <c:smooth val="1"/>
        </c:ser>
        <c:axId val="730998952"/>
        <c:axId val="731002104"/>
      </c:scatterChart>
      <c:valAx>
        <c:axId val="730998952"/>
        <c:scaling>
          <c:orientation val="minMax"/>
        </c:scaling>
        <c:axPos val="b"/>
        <c:numFmt formatCode="General" sourceLinked="1"/>
        <c:tickLblPos val="nextTo"/>
        <c:crossAx val="731002104"/>
        <c:crosses val="autoZero"/>
        <c:crossBetween val="midCat"/>
      </c:valAx>
      <c:valAx>
        <c:axId val="731002104"/>
        <c:scaling>
          <c:orientation val="minMax"/>
        </c:scaling>
        <c:axPos val="l"/>
        <c:majorGridlines/>
        <c:numFmt formatCode="General" sourceLinked="1"/>
        <c:tickLblPos val="nextTo"/>
        <c:crossAx val="7309989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Traction/courant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'4230-400Kv'!$E$14:$E$24</c:f>
              <c:numCache>
                <c:formatCode>General</c:formatCode>
                <c:ptCount val="11"/>
                <c:pt idx="0">
                  <c:v>11.76801339129826</c:v>
                </c:pt>
                <c:pt idx="1">
                  <c:v>11.12533719013572</c:v>
                </c:pt>
                <c:pt idx="2">
                  <c:v>10.70526191082337</c:v>
                </c:pt>
                <c:pt idx="3">
                  <c:v>9.85205239985551</c:v>
                </c:pt>
                <c:pt idx="4">
                  <c:v>9.029175576535697</c:v>
                </c:pt>
                <c:pt idx="5">
                  <c:v>8.237480046007751</c:v>
                </c:pt>
                <c:pt idx="6">
                  <c:v>7.47785473571817</c:v>
                </c:pt>
                <c:pt idx="7">
                  <c:v>7.052332013015697</c:v>
                </c:pt>
                <c:pt idx="8">
                  <c:v>6.058588746887701</c:v>
                </c:pt>
                <c:pt idx="9">
                  <c:v>5.400953387292584</c:v>
                </c:pt>
                <c:pt idx="10">
                  <c:v>5.135443669931645</c:v>
                </c:pt>
              </c:numCache>
            </c:numRef>
          </c:xVal>
          <c:yVal>
            <c:numRef>
              <c:f>'4230-400Kv'!$K$14:$K$24</c:f>
              <c:numCache>
                <c:formatCode>General</c:formatCode>
                <c:ptCount val="11"/>
                <c:pt idx="0">
                  <c:v>1743.255343224791</c:v>
                </c:pt>
                <c:pt idx="1">
                  <c:v>1642.937705486937</c:v>
                </c:pt>
                <c:pt idx="2">
                  <c:v>1577.366645571423</c:v>
                </c:pt>
                <c:pt idx="3">
                  <c:v>1444.186106940999</c:v>
                </c:pt>
                <c:pt idx="4">
                  <c:v>1315.740306528026</c:v>
                </c:pt>
                <c:pt idx="5">
                  <c:v>1192.161706158917</c:v>
                </c:pt>
                <c:pt idx="6">
                  <c:v>1073.58906171323</c:v>
                </c:pt>
                <c:pt idx="7">
                  <c:v>1007.167690783231</c:v>
                </c:pt>
                <c:pt idx="8">
                  <c:v>852.0507332927401</c:v>
                </c:pt>
                <c:pt idx="9">
                  <c:v>749.3980667584188</c:v>
                </c:pt>
                <c:pt idx="10">
                  <c:v>707.9537008492396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'4230-400Kv'!$E$36:$E$43</c:f>
              <c:numCache>
                <c:formatCode>General</c:formatCode>
                <c:ptCount val="8"/>
                <c:pt idx="0">
                  <c:v>12.88336646294091</c:v>
                </c:pt>
                <c:pt idx="1">
                  <c:v>11.672597672248</c:v>
                </c:pt>
                <c:pt idx="2">
                  <c:v>9.593521618017371</c:v>
                </c:pt>
                <c:pt idx="3">
                  <c:v>7.683172645136631</c:v>
                </c:pt>
                <c:pt idx="4">
                  <c:v>6.120012122562478</c:v>
                </c:pt>
                <c:pt idx="5">
                  <c:v>5.166185935916238</c:v>
                </c:pt>
                <c:pt idx="6">
                  <c:v>4.790715012978688</c:v>
                </c:pt>
                <c:pt idx="7">
                  <c:v>4.287569817442884</c:v>
                </c:pt>
              </c:numCache>
            </c:numRef>
          </c:xVal>
          <c:yVal>
            <c:numRef>
              <c:f>'4230-400Kv'!$K$36:$K$43</c:f>
              <c:numCache>
                <c:formatCode>General</c:formatCode>
                <c:ptCount val="8"/>
                <c:pt idx="0">
                  <c:v>1635.467730120028</c:v>
                </c:pt>
                <c:pt idx="1">
                  <c:v>1474.260027672259</c:v>
                </c:pt>
                <c:pt idx="2">
                  <c:v>1197.44163220892</c:v>
                </c:pt>
                <c:pt idx="3">
                  <c:v>943.088388915193</c:v>
                </c:pt>
                <c:pt idx="4">
                  <c:v>734.9615208142883</c:v>
                </c:pt>
                <c:pt idx="5">
                  <c:v>607.9644184230419</c:v>
                </c:pt>
                <c:pt idx="6">
                  <c:v>557.9723759389652</c:v>
                </c:pt>
                <c:pt idx="7">
                  <c:v>490.981153838221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'4230-400Kv'!$E$55:$E$62</c:f>
              <c:numCache>
                <c:formatCode>General</c:formatCode>
                <c:ptCount val="8"/>
                <c:pt idx="0">
                  <c:v>12.82329843482874</c:v>
                </c:pt>
                <c:pt idx="1">
                  <c:v>10.48095625757812</c:v>
                </c:pt>
                <c:pt idx="2">
                  <c:v>8.602699988931945</c:v>
                </c:pt>
                <c:pt idx="3">
                  <c:v>6.883377416654655</c:v>
                </c:pt>
                <c:pt idx="4">
                  <c:v>6.4003778586813</c:v>
                </c:pt>
                <c:pt idx="5">
                  <c:v>5.335340274387319</c:v>
                </c:pt>
                <c:pt idx="6">
                  <c:v>4.629866432064646</c:v>
                </c:pt>
                <c:pt idx="7">
                  <c:v>4.460956223688706</c:v>
                </c:pt>
              </c:numCache>
            </c:numRef>
          </c:xVal>
          <c:yVal>
            <c:numRef>
              <c:f>'4230-400Kv'!$K$55:$K$62</c:f>
              <c:numCache>
                <c:formatCode>General</c:formatCode>
                <c:ptCount val="8"/>
                <c:pt idx="0">
                  <c:v>1563.405306180387</c:v>
                </c:pt>
                <c:pt idx="1">
                  <c:v>1263.811034770867</c:v>
                </c:pt>
                <c:pt idx="2">
                  <c:v>1023.575076168981</c:v>
                </c:pt>
                <c:pt idx="3">
                  <c:v>803.667328119988</c:v>
                </c:pt>
                <c:pt idx="4">
                  <c:v>741.8898892523586</c:v>
                </c:pt>
                <c:pt idx="5">
                  <c:v>605.6676232703447</c:v>
                </c:pt>
                <c:pt idx="6">
                  <c:v>515.4348964544726</c:v>
                </c:pt>
                <c:pt idx="7">
                  <c:v>493.8306529312606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'4230-400Kv'!$E$73:$E$78</c:f>
              <c:numCache>
                <c:formatCode>General</c:formatCode>
                <c:ptCount val="6"/>
                <c:pt idx="0">
                  <c:v>12.92673711026126</c:v>
                </c:pt>
                <c:pt idx="1">
                  <c:v>9.620627371534951</c:v>
                </c:pt>
                <c:pt idx="2">
                  <c:v>6.49357237838103</c:v>
                </c:pt>
                <c:pt idx="3">
                  <c:v>6.2894062793985</c:v>
                </c:pt>
                <c:pt idx="4">
                  <c:v>5.3103322319627</c:v>
                </c:pt>
                <c:pt idx="5">
                  <c:v>4.544209079595375</c:v>
                </c:pt>
              </c:numCache>
            </c:numRef>
          </c:xVal>
          <c:yVal>
            <c:numRef>
              <c:f>'4230-400Kv'!$K$73:$K$78</c:f>
              <c:numCache>
                <c:formatCode>General</c:formatCode>
                <c:ptCount val="6"/>
                <c:pt idx="0">
                  <c:v>1471.991926190925</c:v>
                </c:pt>
                <c:pt idx="1">
                  <c:v>1077.194276255228</c:v>
                </c:pt>
                <c:pt idx="2">
                  <c:v>703.7783705289767</c:v>
                </c:pt>
                <c:pt idx="3">
                  <c:v>679.3979650237753</c:v>
                </c:pt>
                <c:pt idx="4">
                  <c:v>562.482265428881</c:v>
                </c:pt>
                <c:pt idx="5">
                  <c:v>470.9960039255073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'4230-400Kv'!$E$89:$E$99</c:f>
              <c:numCache>
                <c:formatCode>General</c:formatCode>
                <c:ptCount val="11"/>
                <c:pt idx="0">
                  <c:v>12.39954358750543</c:v>
                </c:pt>
                <c:pt idx="1">
                  <c:v>10.16592276375887</c:v>
                </c:pt>
                <c:pt idx="2">
                  <c:v>9.007940717205274</c:v>
                </c:pt>
                <c:pt idx="3">
                  <c:v>7.911918519361271</c:v>
                </c:pt>
                <c:pt idx="4">
                  <c:v>6.880174555193132</c:v>
                </c:pt>
                <c:pt idx="5">
                  <c:v>6.229266984085415</c:v>
                </c:pt>
                <c:pt idx="6">
                  <c:v>5.69989095394749</c:v>
                </c:pt>
                <c:pt idx="7">
                  <c:v>5.915175501054601</c:v>
                </c:pt>
                <c:pt idx="8">
                  <c:v>5.31021426394025</c:v>
                </c:pt>
                <c:pt idx="9">
                  <c:v>4.736903969135831</c:v>
                </c:pt>
                <c:pt idx="10">
                  <c:v>3.98908633923688</c:v>
                </c:pt>
              </c:numCache>
            </c:numRef>
          </c:xVal>
          <c:yVal>
            <c:numRef>
              <c:f>'4230-400Kv'!$K$89:$K$99</c:f>
              <c:numCache>
                <c:formatCode>General</c:formatCode>
                <c:ptCount val="11"/>
                <c:pt idx="0">
                  <c:v>1781.233153306086</c:v>
                </c:pt>
                <c:pt idx="1">
                  <c:v>1444.05066538467</c:v>
                </c:pt>
                <c:pt idx="2">
                  <c:v>1269.244241987204</c:v>
                </c:pt>
                <c:pt idx="3">
                  <c:v>1103.79114110402</c:v>
                </c:pt>
                <c:pt idx="4">
                  <c:v>948.041341031583</c:v>
                </c:pt>
                <c:pt idx="5">
                  <c:v>849.7817654135328</c:v>
                </c:pt>
                <c:pt idx="6">
                  <c:v>769.8683239779174</c:v>
                </c:pt>
                <c:pt idx="7">
                  <c:v>802.367205808198</c:v>
                </c:pt>
                <c:pt idx="8">
                  <c:v>711.0435877358573</c:v>
                </c:pt>
                <c:pt idx="9">
                  <c:v>624.4979263156461</c:v>
                </c:pt>
                <c:pt idx="10">
                  <c:v>511.6090213233264</c:v>
                </c:pt>
              </c:numCache>
            </c:numRef>
          </c:yVal>
          <c:smooth val="1"/>
        </c:ser>
        <c:axId val="730960392"/>
        <c:axId val="730957896"/>
      </c:scatterChart>
      <c:valAx>
        <c:axId val="730960392"/>
        <c:scaling>
          <c:orientation val="minMax"/>
        </c:scaling>
        <c:axPos val="b"/>
        <c:numFmt formatCode="General" sourceLinked="1"/>
        <c:tickLblPos val="nextTo"/>
        <c:crossAx val="730957896"/>
        <c:crosses val="autoZero"/>
        <c:crossBetween val="midCat"/>
      </c:valAx>
      <c:valAx>
        <c:axId val="730957896"/>
        <c:scaling>
          <c:orientation val="minMax"/>
        </c:scaling>
        <c:axPos val="l"/>
        <c:majorGridlines/>
        <c:numFmt formatCode="General" sourceLinked="1"/>
        <c:tickLblPos val="nextTo"/>
        <c:crossAx val="7309603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8"/>
  <c:chart>
    <c:title>
      <c:tx>
        <c:rich>
          <a:bodyPr/>
          <a:lstStyle/>
          <a:p>
            <a:pPr>
              <a:defRPr/>
            </a:pPr>
            <a:r>
              <a:rPr lang="fr-FR"/>
              <a:t>coef adapt - traction/puissance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traction 13x6,5</c:v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xVal>
            <c:numRef>
              <c:f>'5017-620Kv'!$S$96:$S$101</c:f>
              <c:numCache>
                <c:formatCode>General</c:formatCode>
                <c:ptCount val="6"/>
                <c:pt idx="0">
                  <c:v>37.5</c:v>
                </c:pt>
                <c:pt idx="1">
                  <c:v>62.6</c:v>
                </c:pt>
                <c:pt idx="2">
                  <c:v>87.0</c:v>
                </c:pt>
                <c:pt idx="3">
                  <c:v>130.0</c:v>
                </c:pt>
                <c:pt idx="4">
                  <c:v>283.0</c:v>
                </c:pt>
                <c:pt idx="5">
                  <c:v>350.0</c:v>
                </c:pt>
              </c:numCache>
            </c:numRef>
          </c:xVal>
          <c:yVal>
            <c:numRef>
              <c:f>'5017-620Kv'!$Q$96:$Q$101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1700.0</c:v>
                </c:pt>
                <c:pt idx="5">
                  <c:v>1900.0</c:v>
                </c:pt>
              </c:numCache>
            </c:numRef>
          </c:yVal>
          <c:smooth val="1"/>
        </c:ser>
        <c:ser>
          <c:idx val="1"/>
          <c:order val="1"/>
          <c:tx>
            <c:v>traction calculée 13x6,5</c:v>
          </c:tx>
          <c:spPr>
            <a:ln>
              <a:solidFill>
                <a:srgbClr val="3366FF"/>
              </a:solidFill>
            </a:ln>
          </c:spPr>
          <c:marker>
            <c:symbol val="dot"/>
            <c:size val="7"/>
          </c:marker>
          <c:xVal>
            <c:numRef>
              <c:f>'5017-620Kv'!$F$90:$F$115</c:f>
              <c:numCache>
                <c:formatCode>General</c:formatCode>
                <c:ptCount val="26"/>
                <c:pt idx="0">
                  <c:v>280.9049258011302</c:v>
                </c:pt>
                <c:pt idx="1">
                  <c:v>266.9531470225018</c:v>
                </c:pt>
                <c:pt idx="2">
                  <c:v>253.4373449713141</c:v>
                </c:pt>
                <c:pt idx="3">
                  <c:v>240.3529428064217</c:v>
                </c:pt>
                <c:pt idx="4">
                  <c:v>227.6952799705048</c:v>
                </c:pt>
                <c:pt idx="5">
                  <c:v>215.4596096960674</c:v>
                </c:pt>
                <c:pt idx="6">
                  <c:v>203.6410964088026</c:v>
                </c:pt>
                <c:pt idx="7">
                  <c:v>192.2348130229475</c:v>
                </c:pt>
                <c:pt idx="8">
                  <c:v>181.2357381228867</c:v>
                </c:pt>
                <c:pt idx="9">
                  <c:v>170.6387530249009</c:v>
                </c:pt>
                <c:pt idx="10">
                  <c:v>160.4386387125594</c:v>
                </c:pt>
                <c:pt idx="11">
                  <c:v>150.6300726388213</c:v>
                </c:pt>
                <c:pt idx="12">
                  <c:v>141.2076253874448</c:v>
                </c:pt>
                <c:pt idx="13">
                  <c:v>132.165757185818</c:v>
                </c:pt>
                <c:pt idx="14">
                  <c:v>123.4988142607579</c:v>
                </c:pt>
                <c:pt idx="15">
                  <c:v>115.2010250282767</c:v>
                </c:pt>
                <c:pt idx="16">
                  <c:v>107.2664961076439</c:v>
                </c:pt>
                <c:pt idx="17">
                  <c:v>99.68920814942661</c:v>
                </c:pt>
                <c:pt idx="18">
                  <c:v>92.46301146641555</c:v>
                </c:pt>
                <c:pt idx="19">
                  <c:v>85.581621455572</c:v>
                </c:pt>
                <c:pt idx="20">
                  <c:v>79.03861379823193</c:v>
                </c:pt>
                <c:pt idx="21">
                  <c:v>72.82741942487663</c:v>
                </c:pt>
                <c:pt idx="22">
                  <c:v>66.94131922973384</c:v>
                </c:pt>
                <c:pt idx="23">
                  <c:v>61.37343851935338</c:v>
                </c:pt>
                <c:pt idx="24">
                  <c:v>56.1167411780874</c:v>
                </c:pt>
                <c:pt idx="25">
                  <c:v>51.16402353205184</c:v>
                </c:pt>
              </c:numCache>
            </c:numRef>
          </c:xVal>
          <c:yVal>
            <c:numRef>
              <c:f>'5017-620Kv'!$K$90:$K$115</c:f>
              <c:numCache>
                <c:formatCode>General</c:formatCode>
                <c:ptCount val="26"/>
                <c:pt idx="0">
                  <c:v>1744.462146672891</c:v>
                </c:pt>
                <c:pt idx="1">
                  <c:v>1686.860266292629</c:v>
                </c:pt>
                <c:pt idx="2">
                  <c:v>1629.950340757442</c:v>
                </c:pt>
                <c:pt idx="3">
                  <c:v>1573.742640740249</c:v>
                </c:pt>
                <c:pt idx="4">
                  <c:v>1518.247693535514</c:v>
                </c:pt>
                <c:pt idx="5">
                  <c:v>1463.476292126634</c:v>
                </c:pt>
                <c:pt idx="6">
                  <c:v>1409.439504669501</c:v>
                </c:pt>
                <c:pt idx="7">
                  <c:v>1356.148684415742</c:v>
                </c:pt>
                <c:pt idx="8">
                  <c:v>1303.615480100867</c:v>
                </c:pt>
                <c:pt idx="9">
                  <c:v>1251.851846824209</c:v>
                </c:pt>
                <c:pt idx="10">
                  <c:v>1200.870057449403</c:v>
                </c:pt>
                <c:pt idx="11">
                  <c:v>1150.682714556185</c:v>
                </c:pt>
                <c:pt idx="12">
                  <c:v>1101.302762976471</c:v>
                </c:pt>
                <c:pt idx="13">
                  <c:v>1052.743502949947</c:v>
                </c:pt>
                <c:pt idx="14">
                  <c:v>1005.018603937095</c:v>
                </c:pt>
                <c:pt idx="15">
                  <c:v>958.1421191301637</c:v>
                </c:pt>
                <c:pt idx="16">
                  <c:v>912.1285007057734</c:v>
                </c:pt>
                <c:pt idx="17">
                  <c:v>866.9926158659248</c:v>
                </c:pt>
                <c:pt idx="18">
                  <c:v>822.749763717879</c:v>
                </c:pt>
                <c:pt idx="19">
                  <c:v>779.4156930470993</c:v>
                </c:pt>
                <c:pt idx="20">
                  <c:v>737.0066210417249</c:v>
                </c:pt>
                <c:pt idx="21">
                  <c:v>695.5392530315738</c:v>
                </c:pt>
                <c:pt idx="22">
                  <c:v>655.030803309692</c:v>
                </c:pt>
                <c:pt idx="23">
                  <c:v>615.4990171099079</c:v>
                </c:pt>
                <c:pt idx="24">
                  <c:v>576.9621938197967</c:v>
                </c:pt>
                <c:pt idx="25">
                  <c:v>539.4392115150399</c:v>
                </c:pt>
              </c:numCache>
            </c:numRef>
          </c:yVal>
          <c:smooth val="1"/>
        </c:ser>
        <c:axId val="780731224"/>
        <c:axId val="780734296"/>
      </c:scatterChart>
      <c:valAx>
        <c:axId val="780731224"/>
        <c:scaling>
          <c:orientation val="minMax"/>
        </c:scaling>
        <c:axPos val="b"/>
        <c:numFmt formatCode="General" sourceLinked="1"/>
        <c:tickLblPos val="nextTo"/>
        <c:crossAx val="780734296"/>
        <c:crosses val="autoZero"/>
        <c:crossBetween val="midCat"/>
      </c:valAx>
      <c:valAx>
        <c:axId val="780734296"/>
        <c:scaling>
          <c:orientation val="minMax"/>
        </c:scaling>
        <c:axPos val="l"/>
        <c:majorGridlines/>
        <c:numFmt formatCode="General" sourceLinked="1"/>
        <c:tickLblPos val="nextTo"/>
        <c:crossAx val="78073122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rendement Turnigy 4010-375Kv/traction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'4230-400Kv'!$K$14:$K$24</c:f>
              <c:numCache>
                <c:formatCode>General</c:formatCode>
                <c:ptCount val="11"/>
                <c:pt idx="0">
                  <c:v>1743.255343224791</c:v>
                </c:pt>
                <c:pt idx="1">
                  <c:v>1642.937705486937</c:v>
                </c:pt>
                <c:pt idx="2">
                  <c:v>1577.366645571423</c:v>
                </c:pt>
                <c:pt idx="3">
                  <c:v>1444.186106940999</c:v>
                </c:pt>
                <c:pt idx="4">
                  <c:v>1315.740306528026</c:v>
                </c:pt>
                <c:pt idx="5">
                  <c:v>1192.161706158917</c:v>
                </c:pt>
                <c:pt idx="6">
                  <c:v>1073.58906171323</c:v>
                </c:pt>
                <c:pt idx="7">
                  <c:v>1007.167690783231</c:v>
                </c:pt>
                <c:pt idx="8">
                  <c:v>852.0507332927401</c:v>
                </c:pt>
                <c:pt idx="9">
                  <c:v>749.3980667584188</c:v>
                </c:pt>
                <c:pt idx="10">
                  <c:v>707.9537008492396</c:v>
                </c:pt>
              </c:numCache>
            </c:numRef>
          </c:xVal>
          <c:yVal>
            <c:numRef>
              <c:f>'4230-400Kv'!$H$14:$H$24</c:f>
              <c:numCache>
                <c:formatCode>General</c:formatCode>
                <c:ptCount val="11"/>
                <c:pt idx="0">
                  <c:v>82.8279054115509</c:v>
                </c:pt>
                <c:pt idx="1">
                  <c:v>82.84675174849833</c:v>
                </c:pt>
                <c:pt idx="2">
                  <c:v>82.84640882785962</c:v>
                </c:pt>
                <c:pt idx="3">
                  <c:v>82.80743552866339</c:v>
                </c:pt>
                <c:pt idx="4">
                  <c:v>82.70749536347441</c:v>
                </c:pt>
                <c:pt idx="5">
                  <c:v>82.53291235053194</c:v>
                </c:pt>
                <c:pt idx="6">
                  <c:v>82.26639586255133</c:v>
                </c:pt>
                <c:pt idx="7">
                  <c:v>82.06123998627045</c:v>
                </c:pt>
                <c:pt idx="8">
                  <c:v>81.36296162579864</c:v>
                </c:pt>
                <c:pt idx="9">
                  <c:v>80.66064443806605</c:v>
                </c:pt>
                <c:pt idx="10">
                  <c:v>80.30097981447526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'4230-400Kv'!$K$36:$K$43</c:f>
              <c:numCache>
                <c:formatCode>General</c:formatCode>
                <c:ptCount val="8"/>
                <c:pt idx="0">
                  <c:v>1635.467730120028</c:v>
                </c:pt>
                <c:pt idx="1">
                  <c:v>1474.260027672259</c:v>
                </c:pt>
                <c:pt idx="2">
                  <c:v>1197.44163220892</c:v>
                </c:pt>
                <c:pt idx="3">
                  <c:v>943.088388915193</c:v>
                </c:pt>
                <c:pt idx="4">
                  <c:v>734.9615208142883</c:v>
                </c:pt>
                <c:pt idx="5">
                  <c:v>607.9644184230419</c:v>
                </c:pt>
                <c:pt idx="6">
                  <c:v>557.9723759389652</c:v>
                </c:pt>
                <c:pt idx="7">
                  <c:v>490.981153838221</c:v>
                </c:pt>
              </c:numCache>
            </c:numRef>
          </c:xVal>
          <c:yVal>
            <c:numRef>
              <c:f>'4230-400Kv'!$H$36:$H$43</c:f>
              <c:numCache>
                <c:formatCode>General</c:formatCode>
                <c:ptCount val="8"/>
                <c:pt idx="0">
                  <c:v>79.9082355544133</c:v>
                </c:pt>
                <c:pt idx="1">
                  <c:v>80.09629244978361</c:v>
                </c:pt>
                <c:pt idx="2">
                  <c:v>80.25549702821431</c:v>
                </c:pt>
                <c:pt idx="3">
                  <c:v>80.04814437145387</c:v>
                </c:pt>
                <c:pt idx="4">
                  <c:v>79.3370576099419</c:v>
                </c:pt>
                <c:pt idx="5">
                  <c:v>78.42342865845498</c:v>
                </c:pt>
                <c:pt idx="6">
                  <c:v>77.89699631067302</c:v>
                </c:pt>
                <c:pt idx="7">
                  <c:v>76.97527555406216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'4230-400Kv'!$K$55:$K$62</c:f>
              <c:numCache>
                <c:formatCode>General</c:formatCode>
                <c:ptCount val="8"/>
                <c:pt idx="0">
                  <c:v>1563.405306180387</c:v>
                </c:pt>
                <c:pt idx="1">
                  <c:v>1263.811034770867</c:v>
                </c:pt>
                <c:pt idx="2">
                  <c:v>1023.575076168981</c:v>
                </c:pt>
                <c:pt idx="3">
                  <c:v>803.667328119988</c:v>
                </c:pt>
                <c:pt idx="4">
                  <c:v>741.8898892523586</c:v>
                </c:pt>
                <c:pt idx="5">
                  <c:v>605.6676232703447</c:v>
                </c:pt>
                <c:pt idx="6">
                  <c:v>515.4348964544726</c:v>
                </c:pt>
                <c:pt idx="7">
                  <c:v>493.8306529312606</c:v>
                </c:pt>
              </c:numCache>
            </c:numRef>
          </c:xVal>
          <c:yVal>
            <c:numRef>
              <c:f>'4230-400Kv'!$H$55:$H$62</c:f>
              <c:numCache>
                <c:formatCode>General</c:formatCode>
                <c:ptCount val="8"/>
                <c:pt idx="0">
                  <c:v>80.86982637197868</c:v>
                </c:pt>
                <c:pt idx="1">
                  <c:v>81.10072316969448</c:v>
                </c:pt>
                <c:pt idx="2">
                  <c:v>81.02139550729748</c:v>
                </c:pt>
                <c:pt idx="3">
                  <c:v>80.51184465991438</c:v>
                </c:pt>
                <c:pt idx="4">
                  <c:v>80.23681700794073</c:v>
                </c:pt>
                <c:pt idx="5">
                  <c:v>79.2835512500791</c:v>
                </c:pt>
                <c:pt idx="6">
                  <c:v>78.24822700958216</c:v>
                </c:pt>
                <c:pt idx="7">
                  <c:v>77.9301596439414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'4230-400Kv'!$K$73:$K$78</c:f>
              <c:numCache>
                <c:formatCode>General</c:formatCode>
                <c:ptCount val="6"/>
                <c:pt idx="0">
                  <c:v>1471.991926190925</c:v>
                </c:pt>
                <c:pt idx="1">
                  <c:v>1077.194276255228</c:v>
                </c:pt>
                <c:pt idx="2">
                  <c:v>703.7783705289767</c:v>
                </c:pt>
                <c:pt idx="3">
                  <c:v>679.3979650237753</c:v>
                </c:pt>
                <c:pt idx="4">
                  <c:v>562.482265428881</c:v>
                </c:pt>
                <c:pt idx="5">
                  <c:v>470.9960039255073</c:v>
                </c:pt>
              </c:numCache>
            </c:numRef>
          </c:xVal>
          <c:yVal>
            <c:numRef>
              <c:f>'4230-400Kv'!$H$73:$H$78</c:f>
              <c:numCache>
                <c:formatCode>General</c:formatCode>
                <c:ptCount val="6"/>
                <c:pt idx="0">
                  <c:v>76.39424653666049</c:v>
                </c:pt>
                <c:pt idx="1">
                  <c:v>77.10993456824843</c:v>
                </c:pt>
                <c:pt idx="2">
                  <c:v>76.89286462498743</c:v>
                </c:pt>
                <c:pt idx="3">
                  <c:v>76.80557373609088</c:v>
                </c:pt>
                <c:pt idx="4">
                  <c:v>76.14038594990965</c:v>
                </c:pt>
                <c:pt idx="5">
                  <c:v>75.19576723586574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'4230-400Kv'!$K$89:$K$99</c:f>
              <c:numCache>
                <c:formatCode>General</c:formatCode>
                <c:ptCount val="11"/>
                <c:pt idx="0">
                  <c:v>1781.233153306086</c:v>
                </c:pt>
                <c:pt idx="1">
                  <c:v>1444.05066538467</c:v>
                </c:pt>
                <c:pt idx="2">
                  <c:v>1269.244241987204</c:v>
                </c:pt>
                <c:pt idx="3">
                  <c:v>1103.79114110402</c:v>
                </c:pt>
                <c:pt idx="4">
                  <c:v>948.041341031583</c:v>
                </c:pt>
                <c:pt idx="5">
                  <c:v>849.7817654135328</c:v>
                </c:pt>
                <c:pt idx="6">
                  <c:v>769.8683239779174</c:v>
                </c:pt>
                <c:pt idx="7">
                  <c:v>802.367205808198</c:v>
                </c:pt>
                <c:pt idx="8">
                  <c:v>711.0435877358573</c:v>
                </c:pt>
                <c:pt idx="9">
                  <c:v>624.4979263156461</c:v>
                </c:pt>
                <c:pt idx="10">
                  <c:v>511.6090213233264</c:v>
                </c:pt>
              </c:numCache>
            </c:numRef>
          </c:xVal>
          <c:yVal>
            <c:numRef>
              <c:f>'4230-400Kv'!$H$89:$H$99</c:f>
              <c:numCache>
                <c:formatCode>General</c:formatCode>
                <c:ptCount val="11"/>
                <c:pt idx="0">
                  <c:v>83.69596864860885</c:v>
                </c:pt>
                <c:pt idx="1">
                  <c:v>83.66237669067826</c:v>
                </c:pt>
                <c:pt idx="2">
                  <c:v>83.49576737006727</c:v>
                </c:pt>
                <c:pt idx="3">
                  <c:v>83.18039670548498</c:v>
                </c:pt>
                <c:pt idx="4">
                  <c:v>82.66648020543774</c:v>
                </c:pt>
                <c:pt idx="5">
                  <c:v>82.18002338993105</c:v>
                </c:pt>
                <c:pt idx="6">
                  <c:v>81.65256379411443</c:v>
                </c:pt>
                <c:pt idx="7">
                  <c:v>81.88383525689808</c:v>
                </c:pt>
                <c:pt idx="8">
                  <c:v>81.16467807482995</c:v>
                </c:pt>
                <c:pt idx="9">
                  <c:v>80.24166338408946</c:v>
                </c:pt>
                <c:pt idx="10">
                  <c:v>78.50355925197054</c:v>
                </c:pt>
              </c:numCache>
            </c:numRef>
          </c:yVal>
          <c:smooth val="1"/>
        </c:ser>
        <c:axId val="730919912"/>
        <c:axId val="730916104"/>
      </c:scatterChart>
      <c:valAx>
        <c:axId val="730919912"/>
        <c:scaling>
          <c:orientation val="minMax"/>
        </c:scaling>
        <c:axPos val="b"/>
        <c:numFmt formatCode="General" sourceLinked="1"/>
        <c:tickLblPos val="nextTo"/>
        <c:crossAx val="730916104"/>
        <c:crosses val="autoZero"/>
        <c:crossBetween val="midCat"/>
      </c:valAx>
      <c:valAx>
        <c:axId val="730916104"/>
        <c:scaling>
          <c:orientation val="minMax"/>
        </c:scaling>
        <c:axPos val="l"/>
        <c:majorGridlines/>
        <c:numFmt formatCode="General" sourceLinked="1"/>
        <c:tickLblPos val="nextTo"/>
        <c:crossAx val="7309199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temps de vol à 65% des 5Ah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'4230-400Kv'!$K$14:$K$24</c:f>
              <c:numCache>
                <c:formatCode>General</c:formatCode>
                <c:ptCount val="11"/>
                <c:pt idx="0">
                  <c:v>1743.255343224791</c:v>
                </c:pt>
                <c:pt idx="1">
                  <c:v>1642.937705486937</c:v>
                </c:pt>
                <c:pt idx="2">
                  <c:v>1577.366645571423</c:v>
                </c:pt>
                <c:pt idx="3">
                  <c:v>1444.186106940999</c:v>
                </c:pt>
                <c:pt idx="4">
                  <c:v>1315.740306528026</c:v>
                </c:pt>
                <c:pt idx="5">
                  <c:v>1192.161706158917</c:v>
                </c:pt>
                <c:pt idx="6">
                  <c:v>1073.58906171323</c:v>
                </c:pt>
                <c:pt idx="7">
                  <c:v>1007.167690783231</c:v>
                </c:pt>
                <c:pt idx="8">
                  <c:v>852.0507332927401</c:v>
                </c:pt>
                <c:pt idx="9">
                  <c:v>749.3980667584188</c:v>
                </c:pt>
                <c:pt idx="10">
                  <c:v>707.9537008492396</c:v>
                </c:pt>
              </c:numCache>
            </c:numRef>
          </c:xVal>
          <c:yVal>
            <c:numRef>
              <c:f>'4230-400Kv'!$O$14:$O$24</c:f>
              <c:numCache>
                <c:formatCode>General</c:formatCode>
                <c:ptCount val="11"/>
                <c:pt idx="0">
                  <c:v>6.628136577213304</c:v>
                </c:pt>
                <c:pt idx="1">
                  <c:v>7.011023456363973</c:v>
                </c:pt>
                <c:pt idx="2">
                  <c:v>7.286136541987772</c:v>
                </c:pt>
                <c:pt idx="3">
                  <c:v>7.917132068963006</c:v>
                </c:pt>
                <c:pt idx="4">
                  <c:v>8.638662449172013</c:v>
                </c:pt>
                <c:pt idx="5">
                  <c:v>9.468915197895047</c:v>
                </c:pt>
                <c:pt idx="6">
                  <c:v>10.43079904018875</c:v>
                </c:pt>
                <c:pt idx="7">
                  <c:v>11.06017128178937</c:v>
                </c:pt>
                <c:pt idx="8">
                  <c:v>12.87428529293536</c:v>
                </c:pt>
                <c:pt idx="9">
                  <c:v>14.44189468169067</c:v>
                </c:pt>
                <c:pt idx="10">
                  <c:v>15.18856110849683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'4230-400Kv'!$K$36:$K$43</c:f>
              <c:numCache>
                <c:formatCode>General</c:formatCode>
                <c:ptCount val="8"/>
                <c:pt idx="0">
                  <c:v>1635.467730120028</c:v>
                </c:pt>
                <c:pt idx="1">
                  <c:v>1474.260027672259</c:v>
                </c:pt>
                <c:pt idx="2">
                  <c:v>1197.44163220892</c:v>
                </c:pt>
                <c:pt idx="3">
                  <c:v>943.088388915193</c:v>
                </c:pt>
                <c:pt idx="4">
                  <c:v>734.9615208142883</c:v>
                </c:pt>
                <c:pt idx="5">
                  <c:v>607.9644184230419</c:v>
                </c:pt>
                <c:pt idx="6">
                  <c:v>557.9723759389652</c:v>
                </c:pt>
                <c:pt idx="7">
                  <c:v>490.981153838221</c:v>
                </c:pt>
              </c:numCache>
            </c:numRef>
          </c:xVal>
          <c:yVal>
            <c:numRef>
              <c:f>'4230-400Kv'!$O$36:$O$43</c:f>
              <c:numCache>
                <c:formatCode>General</c:formatCode>
                <c:ptCount val="8"/>
                <c:pt idx="0">
                  <c:v>6.054318195819976</c:v>
                </c:pt>
                <c:pt idx="1">
                  <c:v>6.682317183384785</c:v>
                </c:pt>
                <c:pt idx="2">
                  <c:v>8.130486708187532</c:v>
                </c:pt>
                <c:pt idx="3">
                  <c:v>10.15205613651975</c:v>
                </c:pt>
                <c:pt idx="4">
                  <c:v>12.74507279363705</c:v>
                </c:pt>
                <c:pt idx="5">
                  <c:v>15.09817899850066</c:v>
                </c:pt>
                <c:pt idx="6">
                  <c:v>16.28149447184555</c:v>
                </c:pt>
                <c:pt idx="7">
                  <c:v>18.19212358541123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'4230-400Kv'!$K$55:$K$62</c:f>
              <c:numCache>
                <c:formatCode>General</c:formatCode>
                <c:ptCount val="8"/>
                <c:pt idx="0">
                  <c:v>1563.405306180387</c:v>
                </c:pt>
                <c:pt idx="1">
                  <c:v>1263.811034770867</c:v>
                </c:pt>
                <c:pt idx="2">
                  <c:v>1023.575076168981</c:v>
                </c:pt>
                <c:pt idx="3">
                  <c:v>803.667328119988</c:v>
                </c:pt>
                <c:pt idx="4">
                  <c:v>741.8898892523586</c:v>
                </c:pt>
                <c:pt idx="5">
                  <c:v>605.6676232703447</c:v>
                </c:pt>
                <c:pt idx="6">
                  <c:v>515.4348964544726</c:v>
                </c:pt>
                <c:pt idx="7">
                  <c:v>493.8306529312606</c:v>
                </c:pt>
              </c:numCache>
            </c:numRef>
          </c:xVal>
          <c:yVal>
            <c:numRef>
              <c:f>'4230-400Kv'!$O$55:$O$62</c:f>
              <c:numCache>
                <c:formatCode>General</c:formatCode>
                <c:ptCount val="8"/>
                <c:pt idx="0">
                  <c:v>6.082678368316529</c:v>
                </c:pt>
                <c:pt idx="1">
                  <c:v>7.44206903292847</c:v>
                </c:pt>
                <c:pt idx="2">
                  <c:v>9.06692086209599</c:v>
                </c:pt>
                <c:pt idx="3">
                  <c:v>11.33164655642379</c:v>
                </c:pt>
                <c:pt idx="4">
                  <c:v>12.18678048737434</c:v>
                </c:pt>
                <c:pt idx="5">
                  <c:v>14.61949866149017</c:v>
                </c:pt>
                <c:pt idx="6">
                  <c:v>16.84713828023255</c:v>
                </c:pt>
                <c:pt idx="7">
                  <c:v>17.48504044621689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'4230-400Kv'!$K$73:$K$78</c:f>
              <c:numCache>
                <c:formatCode>General</c:formatCode>
                <c:ptCount val="6"/>
                <c:pt idx="0">
                  <c:v>1471.991926190925</c:v>
                </c:pt>
                <c:pt idx="1">
                  <c:v>1077.194276255228</c:v>
                </c:pt>
                <c:pt idx="2">
                  <c:v>703.7783705289767</c:v>
                </c:pt>
                <c:pt idx="3">
                  <c:v>679.3979650237753</c:v>
                </c:pt>
                <c:pt idx="4">
                  <c:v>562.482265428881</c:v>
                </c:pt>
                <c:pt idx="5">
                  <c:v>470.9960039255073</c:v>
                </c:pt>
              </c:numCache>
            </c:numRef>
          </c:xVal>
          <c:yVal>
            <c:numRef>
              <c:f>'4230-400Kv'!$O$73:$O$78</c:f>
              <c:numCache>
                <c:formatCode>General</c:formatCode>
                <c:ptCount val="6"/>
                <c:pt idx="0">
                  <c:v>6.034005281818834</c:v>
                </c:pt>
                <c:pt idx="1">
                  <c:v>8.107579369593155</c:v>
                </c:pt>
                <c:pt idx="2">
                  <c:v>12.01187812423319</c:v>
                </c:pt>
                <c:pt idx="3">
                  <c:v>12.40180655135856</c:v>
                </c:pt>
                <c:pt idx="4">
                  <c:v>14.68834652764676</c:v>
                </c:pt>
                <c:pt idx="5">
                  <c:v>17.16470317139221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'4230-400Kv'!$K$89:$K$99</c:f>
              <c:numCache>
                <c:formatCode>General</c:formatCode>
                <c:ptCount val="11"/>
                <c:pt idx="0">
                  <c:v>1781.233153306086</c:v>
                </c:pt>
                <c:pt idx="1">
                  <c:v>1444.05066538467</c:v>
                </c:pt>
                <c:pt idx="2">
                  <c:v>1269.244241987204</c:v>
                </c:pt>
                <c:pt idx="3">
                  <c:v>1103.79114110402</c:v>
                </c:pt>
                <c:pt idx="4">
                  <c:v>948.041341031583</c:v>
                </c:pt>
                <c:pt idx="5">
                  <c:v>849.7817654135328</c:v>
                </c:pt>
                <c:pt idx="6">
                  <c:v>769.8683239779174</c:v>
                </c:pt>
                <c:pt idx="7">
                  <c:v>802.367205808198</c:v>
                </c:pt>
                <c:pt idx="8">
                  <c:v>711.0435877358573</c:v>
                </c:pt>
                <c:pt idx="9">
                  <c:v>624.4979263156461</c:v>
                </c:pt>
                <c:pt idx="10">
                  <c:v>511.6090213233264</c:v>
                </c:pt>
              </c:numCache>
            </c:numRef>
          </c:xVal>
          <c:yVal>
            <c:numRef>
              <c:f>'4230-400Kv'!$O$89:$O$99</c:f>
              <c:numCache>
                <c:formatCode>General</c:formatCode>
                <c:ptCount val="11"/>
                <c:pt idx="0">
                  <c:v>6.290554119959525</c:v>
                </c:pt>
                <c:pt idx="1">
                  <c:v>7.672692564423868</c:v>
                </c:pt>
                <c:pt idx="2">
                  <c:v>8.659026790775728</c:v>
                </c:pt>
                <c:pt idx="3">
                  <c:v>9.858544398444706</c:v>
                </c:pt>
                <c:pt idx="4">
                  <c:v>11.3369216688152</c:v>
                </c:pt>
                <c:pt idx="5">
                  <c:v>12.52153747772813</c:v>
                </c:pt>
                <c:pt idx="6">
                  <c:v>13.68447232240131</c:v>
                </c:pt>
                <c:pt idx="7">
                  <c:v>13.18642193897604</c:v>
                </c:pt>
                <c:pt idx="8">
                  <c:v>14.68867283372535</c:v>
                </c:pt>
                <c:pt idx="9">
                  <c:v>16.46645161232386</c:v>
                </c:pt>
                <c:pt idx="10">
                  <c:v>19.5533496562327</c:v>
                </c:pt>
              </c:numCache>
            </c:numRef>
          </c:yVal>
          <c:smooth val="1"/>
        </c:ser>
        <c:axId val="730859640"/>
        <c:axId val="730862792"/>
      </c:scatterChart>
      <c:valAx>
        <c:axId val="730859640"/>
        <c:scaling>
          <c:orientation val="minMax"/>
        </c:scaling>
        <c:axPos val="b"/>
        <c:numFmt formatCode="General" sourceLinked="1"/>
        <c:tickLblPos val="nextTo"/>
        <c:crossAx val="730862792"/>
        <c:crosses val="autoZero"/>
        <c:crossBetween val="midCat"/>
      </c:valAx>
      <c:valAx>
        <c:axId val="730862792"/>
        <c:scaling>
          <c:orientation val="minMax"/>
        </c:scaling>
        <c:axPos val="l"/>
        <c:majorGridlines/>
        <c:numFmt formatCode="General" sourceLinked="1"/>
        <c:tickLblPos val="nextTo"/>
        <c:crossAx val="7308596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globale (grs/W)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'4010-485KV'!$F$14:$F$23</c:f>
              <c:numCache>
                <c:formatCode>General</c:formatCode>
                <c:ptCount val="10"/>
                <c:pt idx="0">
                  <c:v>293.072766567171</c:v>
                </c:pt>
                <c:pt idx="1">
                  <c:v>195.2953819368016</c:v>
                </c:pt>
                <c:pt idx="2">
                  <c:v>184.8820487733051</c:v>
                </c:pt>
                <c:pt idx="3">
                  <c:v>168.8645141063907</c:v>
                </c:pt>
                <c:pt idx="4">
                  <c:v>139.6217606488653</c:v>
                </c:pt>
                <c:pt idx="5">
                  <c:v>113.9335108549959</c:v>
                </c:pt>
                <c:pt idx="6">
                  <c:v>96.44553290748154</c:v>
                </c:pt>
                <c:pt idx="7">
                  <c:v>72.38519199966302</c:v>
                </c:pt>
                <c:pt idx="8">
                  <c:v>63.88839480293122</c:v>
                </c:pt>
                <c:pt idx="9">
                  <c:v>55.27617859069711</c:v>
                </c:pt>
              </c:numCache>
            </c:numRef>
          </c:xVal>
          <c:yVal>
            <c:numRef>
              <c:f>'4010-485KV'!$L$14:$L$23</c:f>
              <c:numCache>
                <c:formatCode>General</c:formatCode>
                <c:ptCount val="10"/>
                <c:pt idx="0">
                  <c:v>6.683394864577211</c:v>
                </c:pt>
                <c:pt idx="1">
                  <c:v>7.615403852870102</c:v>
                </c:pt>
                <c:pt idx="2">
                  <c:v>7.748556258376651</c:v>
                </c:pt>
                <c:pt idx="3">
                  <c:v>7.972570834730449</c:v>
                </c:pt>
                <c:pt idx="4">
                  <c:v>8.457866104147466</c:v>
                </c:pt>
                <c:pt idx="5">
                  <c:v>8.998900303308872</c:v>
                </c:pt>
                <c:pt idx="6">
                  <c:v>9.458475088081554</c:v>
                </c:pt>
                <c:pt idx="7">
                  <c:v>10.28056309625685</c:v>
                </c:pt>
                <c:pt idx="8">
                  <c:v>10.64864177784812</c:v>
                </c:pt>
                <c:pt idx="9">
                  <c:v>11.08171324472011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'4010-485KV'!$F$35:$F$43</c:f>
              <c:numCache>
                <c:formatCode>General</c:formatCode>
                <c:ptCount val="9"/>
                <c:pt idx="0">
                  <c:v>257.9728266646103</c:v>
                </c:pt>
                <c:pt idx="1">
                  <c:v>205.6974119410483</c:v>
                </c:pt>
                <c:pt idx="2">
                  <c:v>167.77812318301</c:v>
                </c:pt>
                <c:pt idx="3">
                  <c:v>134.703255693375</c:v>
                </c:pt>
                <c:pt idx="4">
                  <c:v>106.1929503016746</c:v>
                </c:pt>
                <c:pt idx="5">
                  <c:v>83.74431582005885</c:v>
                </c:pt>
                <c:pt idx="6">
                  <c:v>61.68638872914136</c:v>
                </c:pt>
                <c:pt idx="7">
                  <c:v>52.94117081167434</c:v>
                </c:pt>
                <c:pt idx="8">
                  <c:v>44.32666428321548</c:v>
                </c:pt>
              </c:numCache>
            </c:numRef>
          </c:xVal>
          <c:yVal>
            <c:numRef>
              <c:f>'4010-485KV'!$L$35:$L$43</c:f>
              <c:numCache>
                <c:formatCode>General</c:formatCode>
                <c:ptCount val="9"/>
                <c:pt idx="0">
                  <c:v>6.8838248836922</c:v>
                </c:pt>
                <c:pt idx="1">
                  <c:v>7.416513419945431</c:v>
                </c:pt>
                <c:pt idx="2">
                  <c:v>7.92334380232026</c:v>
                </c:pt>
                <c:pt idx="3">
                  <c:v>8.498692124633695</c:v>
                </c:pt>
                <c:pt idx="4">
                  <c:v>9.155498027081858</c:v>
                </c:pt>
                <c:pt idx="5">
                  <c:v>9.844867787246998</c:v>
                </c:pt>
                <c:pt idx="6">
                  <c:v>10.77702752346138</c:v>
                </c:pt>
                <c:pt idx="7">
                  <c:v>11.25949639665411</c:v>
                </c:pt>
                <c:pt idx="8">
                  <c:v>11.83077203669095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'4010-485KV'!$F$55:$F$63</c:f>
              <c:numCache>
                <c:formatCode>General</c:formatCode>
                <c:ptCount val="9"/>
                <c:pt idx="0">
                  <c:v>277.2416965087043</c:v>
                </c:pt>
                <c:pt idx="1">
                  <c:v>220.3640511706715</c:v>
                </c:pt>
                <c:pt idx="2">
                  <c:v>182.1792169164801</c:v>
                </c:pt>
                <c:pt idx="3">
                  <c:v>148.5711792562062</c:v>
                </c:pt>
                <c:pt idx="4">
                  <c:v>119.2903372078622</c:v>
                </c:pt>
                <c:pt idx="5">
                  <c:v>95.2459337618185</c:v>
                </c:pt>
                <c:pt idx="6">
                  <c:v>82.9136257952319</c:v>
                </c:pt>
                <c:pt idx="7">
                  <c:v>63.29658227350525</c:v>
                </c:pt>
                <c:pt idx="8">
                  <c:v>50.35438818149488</c:v>
                </c:pt>
              </c:numCache>
            </c:numRef>
          </c:xVal>
          <c:yVal>
            <c:numRef>
              <c:f>'4010-485KV'!$L$55:$L$63</c:f>
              <c:numCache>
                <c:formatCode>General</c:formatCode>
                <c:ptCount val="9"/>
                <c:pt idx="0">
                  <c:v>6.167240276267302</c:v>
                </c:pt>
                <c:pt idx="1">
                  <c:v>6.649549217746628</c:v>
                </c:pt>
                <c:pt idx="2">
                  <c:v>7.071603076587425</c:v>
                </c:pt>
                <c:pt idx="3">
                  <c:v>7.546419791634397</c:v>
                </c:pt>
                <c:pt idx="4">
                  <c:v>8.083199140098795</c:v>
                </c:pt>
                <c:pt idx="5">
                  <c:v>8.66036637246743</c:v>
                </c:pt>
                <c:pt idx="6">
                  <c:v>9.028631114150111</c:v>
                </c:pt>
                <c:pt idx="7">
                  <c:v>9.770709457578035</c:v>
                </c:pt>
                <c:pt idx="8">
                  <c:v>10.42127896005071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'4010-485KV'!$F$75:$F$80</c:f>
              <c:numCache>
                <c:formatCode>General</c:formatCode>
                <c:ptCount val="6"/>
                <c:pt idx="0">
                  <c:v>217.5201487995023</c:v>
                </c:pt>
                <c:pt idx="1">
                  <c:v>121.1915022171347</c:v>
                </c:pt>
                <c:pt idx="2">
                  <c:v>77.8100153667473</c:v>
                </c:pt>
                <c:pt idx="3">
                  <c:v>66.30258823022834</c:v>
                </c:pt>
                <c:pt idx="4">
                  <c:v>55.76881069797332</c:v>
                </c:pt>
                <c:pt idx="5">
                  <c:v>40.66247269358425</c:v>
                </c:pt>
              </c:numCache>
            </c:numRef>
          </c:xVal>
          <c:yVal>
            <c:numRef>
              <c:f>'4010-485KV'!$L$75:$L$80</c:f>
              <c:numCache>
                <c:formatCode>General</c:formatCode>
                <c:ptCount val="6"/>
                <c:pt idx="0">
                  <c:v>7.580223839972236</c:v>
                </c:pt>
                <c:pt idx="1">
                  <c:v>9.19850400113161</c:v>
                </c:pt>
                <c:pt idx="2">
                  <c:v>10.58768195312486</c:v>
                </c:pt>
                <c:pt idx="3">
                  <c:v>11.12245519772438</c:v>
                </c:pt>
                <c:pt idx="4">
                  <c:v>11.71871960594638</c:v>
                </c:pt>
                <c:pt idx="5">
                  <c:v>12.85008935056791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'4010-485KV'!$F$92:$F$101</c:f>
              <c:numCache>
                <c:formatCode>General</c:formatCode>
                <c:ptCount val="10"/>
                <c:pt idx="0">
                  <c:v>307.1908964233521</c:v>
                </c:pt>
                <c:pt idx="1">
                  <c:v>242.3249843485131</c:v>
                </c:pt>
                <c:pt idx="2">
                  <c:v>190.3206698359028</c:v>
                </c:pt>
                <c:pt idx="3">
                  <c:v>146.2555180145262</c:v>
                </c:pt>
                <c:pt idx="4">
                  <c:v>109.5370945994945</c:v>
                </c:pt>
                <c:pt idx="5">
                  <c:v>95.3488226870133</c:v>
                </c:pt>
                <c:pt idx="6">
                  <c:v>79.55116517278366</c:v>
                </c:pt>
                <c:pt idx="7">
                  <c:v>62.98708210934784</c:v>
                </c:pt>
                <c:pt idx="8">
                  <c:v>55.66040213890695</c:v>
                </c:pt>
                <c:pt idx="9">
                  <c:v>50.892547646084</c:v>
                </c:pt>
              </c:numCache>
            </c:numRef>
          </c:xVal>
          <c:yVal>
            <c:numRef>
              <c:f>'4010-485KV'!$L$92:$L$101</c:f>
              <c:numCache>
                <c:formatCode>General</c:formatCode>
                <c:ptCount val="10"/>
                <c:pt idx="0">
                  <c:v>6.027874392692637</c:v>
                </c:pt>
                <c:pt idx="1">
                  <c:v>6.505715223749061</c:v>
                </c:pt>
                <c:pt idx="2">
                  <c:v>7.022199408377842</c:v>
                </c:pt>
                <c:pt idx="3">
                  <c:v>7.619078336806627</c:v>
                </c:pt>
                <c:pt idx="4">
                  <c:v>8.31302662611307</c:v>
                </c:pt>
                <c:pt idx="5">
                  <c:v>8.659322620746141</c:v>
                </c:pt>
                <c:pt idx="6">
                  <c:v>9.12306933478968</c:v>
                </c:pt>
                <c:pt idx="7">
                  <c:v>9.73700524771437</c:v>
                </c:pt>
                <c:pt idx="8">
                  <c:v>10.06782336879311</c:v>
                </c:pt>
                <c:pt idx="9">
                  <c:v>10.30905124140487</c:v>
                </c:pt>
              </c:numCache>
            </c:numRef>
          </c:yVal>
          <c:smooth val="1"/>
        </c:ser>
        <c:axId val="764287144"/>
        <c:axId val="764290296"/>
      </c:scatterChart>
      <c:valAx>
        <c:axId val="764287144"/>
        <c:scaling>
          <c:orientation val="minMax"/>
        </c:scaling>
        <c:axPos val="b"/>
        <c:numFmt formatCode="General" sourceLinked="1"/>
        <c:tickLblPos val="nextTo"/>
        <c:crossAx val="764290296"/>
        <c:crosses val="autoZero"/>
        <c:crossBetween val="midCat"/>
      </c:valAx>
      <c:valAx>
        <c:axId val="764290296"/>
        <c:scaling>
          <c:orientation val="minMax"/>
        </c:scaling>
        <c:axPos val="l"/>
        <c:majorGridlines/>
        <c:numFmt formatCode="General" sourceLinked="1"/>
        <c:tickLblPos val="nextTo"/>
        <c:crossAx val="76428714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mécanique (grs/W)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'4010-485KV'!$G$14:$G$23</c:f>
              <c:numCache>
                <c:formatCode>General</c:formatCode>
                <c:ptCount val="10"/>
                <c:pt idx="0">
                  <c:v>257.7212188886278</c:v>
                </c:pt>
                <c:pt idx="1">
                  <c:v>170.5173872365967</c:v>
                </c:pt>
                <c:pt idx="2">
                  <c:v>161.1998388375082</c:v>
                </c:pt>
                <c:pt idx="3">
                  <c:v>146.8576152344599</c:v>
                </c:pt>
                <c:pt idx="4">
                  <c:v>120.6457905068712</c:v>
                </c:pt>
                <c:pt idx="5">
                  <c:v>97.60064344350157</c:v>
                </c:pt>
                <c:pt idx="6">
                  <c:v>81.9117419592114</c:v>
                </c:pt>
                <c:pt idx="7">
                  <c:v>60.35194209755857</c:v>
                </c:pt>
                <c:pt idx="8">
                  <c:v>52.7552385190056</c:v>
                </c:pt>
                <c:pt idx="9">
                  <c:v>45.07219189229774</c:v>
                </c:pt>
              </c:numCache>
            </c:numRef>
          </c:xVal>
          <c:yVal>
            <c:numRef>
              <c:f>'4010-485KV'!$L$14:$L$23</c:f>
              <c:numCache>
                <c:formatCode>General</c:formatCode>
                <c:ptCount val="10"/>
                <c:pt idx="0">
                  <c:v>6.683394864577211</c:v>
                </c:pt>
                <c:pt idx="1">
                  <c:v>7.615403852870102</c:v>
                </c:pt>
                <c:pt idx="2">
                  <c:v>7.748556258376651</c:v>
                </c:pt>
                <c:pt idx="3">
                  <c:v>7.972570834730449</c:v>
                </c:pt>
                <c:pt idx="4">
                  <c:v>8.457866104147466</c:v>
                </c:pt>
                <c:pt idx="5">
                  <c:v>8.998900303308872</c:v>
                </c:pt>
                <c:pt idx="6">
                  <c:v>9.458475088081554</c:v>
                </c:pt>
                <c:pt idx="7">
                  <c:v>10.28056309625685</c:v>
                </c:pt>
                <c:pt idx="8">
                  <c:v>10.64864177784812</c:v>
                </c:pt>
                <c:pt idx="9">
                  <c:v>11.08171324472011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'4010-485KV'!$G$35:$G$43</c:f>
              <c:numCache>
                <c:formatCode>General</c:formatCode>
                <c:ptCount val="9"/>
                <c:pt idx="0">
                  <c:v>222.4830676331334</c:v>
                </c:pt>
                <c:pt idx="1">
                  <c:v>177.1471710605995</c:v>
                </c:pt>
                <c:pt idx="2">
                  <c:v>144.0976999776529</c:v>
                </c:pt>
                <c:pt idx="3">
                  <c:v>115.1560032879738</c:v>
                </c:pt>
                <c:pt idx="4">
                  <c:v>90.12759656493795</c:v>
                </c:pt>
                <c:pt idx="5">
                  <c:v>70.37835961554094</c:v>
                </c:pt>
                <c:pt idx="6">
                  <c:v>50.95934147944508</c:v>
                </c:pt>
                <c:pt idx="7">
                  <c:v>43.2673265700373</c:v>
                </c:pt>
                <c:pt idx="8">
                  <c:v>35.7033119721672</c:v>
                </c:pt>
              </c:numCache>
            </c:numRef>
          </c:xVal>
          <c:yVal>
            <c:numRef>
              <c:f>'4010-485KV'!$L$35:$L$43</c:f>
              <c:numCache>
                <c:formatCode>General</c:formatCode>
                <c:ptCount val="9"/>
                <c:pt idx="0">
                  <c:v>6.8838248836922</c:v>
                </c:pt>
                <c:pt idx="1">
                  <c:v>7.416513419945431</c:v>
                </c:pt>
                <c:pt idx="2">
                  <c:v>7.92334380232026</c:v>
                </c:pt>
                <c:pt idx="3">
                  <c:v>8.498692124633695</c:v>
                </c:pt>
                <c:pt idx="4">
                  <c:v>9.155498027081858</c:v>
                </c:pt>
                <c:pt idx="5">
                  <c:v>9.844867787246998</c:v>
                </c:pt>
                <c:pt idx="6">
                  <c:v>10.77702752346138</c:v>
                </c:pt>
                <c:pt idx="7">
                  <c:v>11.25949639665411</c:v>
                </c:pt>
                <c:pt idx="8">
                  <c:v>11.83077203669095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'4010-485KV'!$G$55:$G$63</c:f>
              <c:numCache>
                <c:formatCode>General</c:formatCode>
                <c:ptCount val="9"/>
                <c:pt idx="0">
                  <c:v>240.7681583339637</c:v>
                </c:pt>
                <c:pt idx="1">
                  <c:v>191.0180269621573</c:v>
                </c:pt>
                <c:pt idx="2">
                  <c:v>157.4707827992292</c:v>
                </c:pt>
                <c:pt idx="3">
                  <c:v>127.8463172531779</c:v>
                </c:pt>
                <c:pt idx="4">
                  <c:v>101.9665540711437</c:v>
                </c:pt>
                <c:pt idx="5">
                  <c:v>80.67686042822557</c:v>
                </c:pt>
                <c:pt idx="6">
                  <c:v>69.75039164288995</c:v>
                </c:pt>
                <c:pt idx="7">
                  <c:v>52.37625783373375</c:v>
                </c:pt>
                <c:pt idx="8">
                  <c:v>40.93666351658639</c:v>
                </c:pt>
              </c:numCache>
            </c:numRef>
          </c:xVal>
          <c:yVal>
            <c:numRef>
              <c:f>'4010-485KV'!$L$55:$L$63</c:f>
              <c:numCache>
                <c:formatCode>General</c:formatCode>
                <c:ptCount val="9"/>
                <c:pt idx="0">
                  <c:v>6.167240276267302</c:v>
                </c:pt>
                <c:pt idx="1">
                  <c:v>6.649549217746628</c:v>
                </c:pt>
                <c:pt idx="2">
                  <c:v>7.071603076587425</c:v>
                </c:pt>
                <c:pt idx="3">
                  <c:v>7.546419791634397</c:v>
                </c:pt>
                <c:pt idx="4">
                  <c:v>8.083199140098795</c:v>
                </c:pt>
                <c:pt idx="5">
                  <c:v>8.66036637246743</c:v>
                </c:pt>
                <c:pt idx="6">
                  <c:v>9.028631114150111</c:v>
                </c:pt>
                <c:pt idx="7">
                  <c:v>9.770709457578035</c:v>
                </c:pt>
                <c:pt idx="8">
                  <c:v>10.42127896005071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'4010-485KV'!$G$75:$G$80</c:f>
              <c:numCache>
                <c:formatCode>General</c:formatCode>
                <c:ptCount val="6"/>
                <c:pt idx="0">
                  <c:v>182.6368078987371</c:v>
                </c:pt>
                <c:pt idx="1">
                  <c:v>101.5313312540123</c:v>
                </c:pt>
                <c:pt idx="2">
                  <c:v>64.50161772446858</c:v>
                </c:pt>
                <c:pt idx="3">
                  <c:v>54.62767862843039</c:v>
                </c:pt>
                <c:pt idx="4">
                  <c:v>45.57465020889465</c:v>
                </c:pt>
                <c:pt idx="5">
                  <c:v>32.58111353174605</c:v>
                </c:pt>
              </c:numCache>
            </c:numRef>
          </c:xVal>
          <c:yVal>
            <c:numRef>
              <c:f>'4010-485KV'!$L$75:$L$80</c:f>
              <c:numCache>
                <c:formatCode>General</c:formatCode>
                <c:ptCount val="6"/>
                <c:pt idx="0">
                  <c:v>7.580223839972236</c:v>
                </c:pt>
                <c:pt idx="1">
                  <c:v>9.19850400113161</c:v>
                </c:pt>
                <c:pt idx="2">
                  <c:v>10.58768195312486</c:v>
                </c:pt>
                <c:pt idx="3">
                  <c:v>11.12245519772438</c:v>
                </c:pt>
                <c:pt idx="4">
                  <c:v>11.71871960594638</c:v>
                </c:pt>
                <c:pt idx="5">
                  <c:v>12.85008935056791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'4010-485KV'!$G$92:$G$101</c:f>
              <c:numCache>
                <c:formatCode>General</c:formatCode>
                <c:ptCount val="10"/>
                <c:pt idx="0">
                  <c:v>271.6969986851585</c:v>
                </c:pt>
                <c:pt idx="1">
                  <c:v>213.4351292481566</c:v>
                </c:pt>
                <c:pt idx="2">
                  <c:v>166.5960542817394</c:v>
                </c:pt>
                <c:pt idx="3">
                  <c:v>126.8376207774174</c:v>
                </c:pt>
                <c:pt idx="4">
                  <c:v>93.69288702699497</c:v>
                </c:pt>
                <c:pt idx="5">
                  <c:v>80.895603865322</c:v>
                </c:pt>
                <c:pt idx="6">
                  <c:v>66.66644837383542</c:v>
                </c:pt>
                <c:pt idx="7">
                  <c:v>51.78945957912111</c:v>
                </c:pt>
                <c:pt idx="8">
                  <c:v>45.2323268191307</c:v>
                </c:pt>
                <c:pt idx="9">
                  <c:v>40.97654839235854</c:v>
                </c:pt>
              </c:numCache>
            </c:numRef>
          </c:xVal>
          <c:yVal>
            <c:numRef>
              <c:f>'4010-485KV'!$L$92:$L$101</c:f>
              <c:numCache>
                <c:formatCode>General</c:formatCode>
                <c:ptCount val="10"/>
                <c:pt idx="0">
                  <c:v>6.027874392692637</c:v>
                </c:pt>
                <c:pt idx="1">
                  <c:v>6.505715223749061</c:v>
                </c:pt>
                <c:pt idx="2">
                  <c:v>7.022199408377842</c:v>
                </c:pt>
                <c:pt idx="3">
                  <c:v>7.619078336806627</c:v>
                </c:pt>
                <c:pt idx="4">
                  <c:v>8.31302662611307</c:v>
                </c:pt>
                <c:pt idx="5">
                  <c:v>8.659322620746141</c:v>
                </c:pt>
                <c:pt idx="6">
                  <c:v>9.12306933478968</c:v>
                </c:pt>
                <c:pt idx="7">
                  <c:v>9.73700524771437</c:v>
                </c:pt>
                <c:pt idx="8">
                  <c:v>10.06782336879311</c:v>
                </c:pt>
                <c:pt idx="9">
                  <c:v>10.30905124140487</c:v>
                </c:pt>
              </c:numCache>
            </c:numRef>
          </c:yVal>
          <c:smooth val="1"/>
        </c:ser>
        <c:axId val="764332056"/>
        <c:axId val="764279464"/>
      </c:scatterChart>
      <c:valAx>
        <c:axId val="764332056"/>
        <c:scaling>
          <c:orientation val="minMax"/>
        </c:scaling>
        <c:axPos val="b"/>
        <c:numFmt formatCode="General" sourceLinked="1"/>
        <c:tickLblPos val="nextTo"/>
        <c:crossAx val="764279464"/>
        <c:crosses val="autoZero"/>
        <c:crossBetween val="midCat"/>
      </c:valAx>
      <c:valAx>
        <c:axId val="764279464"/>
        <c:scaling>
          <c:orientation val="minMax"/>
        </c:scaling>
        <c:axPos val="l"/>
        <c:majorGridlines/>
        <c:numFmt formatCode="General" sourceLinked="1"/>
        <c:tickLblPos val="nextTo"/>
        <c:crossAx val="7643320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Traction/courant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'4010-485KV'!$E$14:$E$23</c:f>
              <c:numCache>
                <c:formatCode>General</c:formatCode>
                <c:ptCount val="10"/>
                <c:pt idx="0">
                  <c:v>16.0149052768946</c:v>
                </c:pt>
                <c:pt idx="1">
                  <c:v>12.35264907886158</c:v>
                </c:pt>
                <c:pt idx="2">
                  <c:v>11.92787411440678</c:v>
                </c:pt>
                <c:pt idx="3">
                  <c:v>11.25763427375938</c:v>
                </c:pt>
                <c:pt idx="4">
                  <c:v>9.972982903490382</c:v>
                </c:pt>
                <c:pt idx="5">
                  <c:v>8.764116219615072</c:v>
                </c:pt>
                <c:pt idx="6">
                  <c:v>7.885979796196364</c:v>
                </c:pt>
                <c:pt idx="7">
                  <c:v>6.580471999969365</c:v>
                </c:pt>
                <c:pt idx="8">
                  <c:v>6.084609028850592</c:v>
                </c:pt>
                <c:pt idx="9">
                  <c:v>5.558187892478341</c:v>
                </c:pt>
              </c:numCache>
            </c:numRef>
          </c:xVal>
          <c:yVal>
            <c:numRef>
              <c:f>'4010-485KV'!$K$14:$K$23</c:f>
              <c:numCache>
                <c:formatCode>General</c:formatCode>
                <c:ptCount val="10"/>
                <c:pt idx="0">
                  <c:v>1958.721023022467</c:v>
                </c:pt>
                <c:pt idx="1">
                  <c:v>1487.253204049257</c:v>
                </c:pt>
                <c:pt idx="2">
                  <c:v>1432.56895608389</c:v>
                </c:pt>
                <c:pt idx="3">
                  <c:v>1346.284300185539</c:v>
                </c:pt>
                <c:pt idx="4">
                  <c:v>1180.902156793429</c:v>
                </c:pt>
                <c:pt idx="5">
                  <c:v>1025.276305390068</c:v>
                </c:pt>
                <c:pt idx="6">
                  <c:v>912.2276703621638</c:v>
                </c:pt>
                <c:pt idx="7">
                  <c:v>744.1605335872025</c:v>
                </c:pt>
                <c:pt idx="8">
                  <c:v>680.3246300181484</c:v>
                </c:pt>
                <c:pt idx="9">
                  <c:v>612.5547604060425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'4010-485KV'!$E$35:$E$43</c:f>
              <c:numCache>
                <c:formatCode>General</c:formatCode>
                <c:ptCount val="9"/>
                <c:pt idx="0">
                  <c:v>16.97189649109278</c:v>
                </c:pt>
                <c:pt idx="1">
                  <c:v>14.69267228150345</c:v>
                </c:pt>
                <c:pt idx="2">
                  <c:v>12.90600947561615</c:v>
                </c:pt>
                <c:pt idx="3">
                  <c:v>11.22527130778125</c:v>
                </c:pt>
                <c:pt idx="4">
                  <c:v>9.653904572879507</c:v>
                </c:pt>
                <c:pt idx="5">
                  <c:v>8.307967839291553</c:v>
                </c:pt>
                <c:pt idx="6">
                  <c:v>6.854043192126817</c:v>
                </c:pt>
                <c:pt idx="7">
                  <c:v>6.22837303666757</c:v>
                </c:pt>
                <c:pt idx="8">
                  <c:v>5.575681041913896</c:v>
                </c:pt>
              </c:numCache>
            </c:numRef>
          </c:xVal>
          <c:yVal>
            <c:numRef>
              <c:f>'4010-485KV'!$K$35:$K$43</c:f>
              <c:numCache>
                <c:formatCode>General</c:formatCode>
                <c:ptCount val="9"/>
                <c:pt idx="0">
                  <c:v>1775.839763510259</c:v>
                </c:pt>
                <c:pt idx="1">
                  <c:v>1525.557616108829</c:v>
                </c:pt>
                <c:pt idx="2">
                  <c:v>1329.363752487027</c:v>
                </c:pt>
                <c:pt idx="3">
                  <c:v>1144.801498323805</c:v>
                </c:pt>
                <c:pt idx="4">
                  <c:v>972.2493469769834</c:v>
                </c:pt>
                <c:pt idx="5">
                  <c:v>824.4517171819367</c:v>
                </c:pt>
                <c:pt idx="6">
                  <c:v>664.795909156894</c:v>
                </c:pt>
                <c:pt idx="7">
                  <c:v>596.0909219886967</c:v>
                </c:pt>
                <c:pt idx="8">
                  <c:v>524.4186602816534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'4010-485KV'!$E$55:$E$63</c:f>
              <c:numCache>
                <c:formatCode>General</c:formatCode>
                <c:ptCount val="9"/>
                <c:pt idx="0">
                  <c:v>17.00869303734382</c:v>
                </c:pt>
                <c:pt idx="1">
                  <c:v>14.69093674471143</c:v>
                </c:pt>
                <c:pt idx="2">
                  <c:v>13.01280120832001</c:v>
                </c:pt>
                <c:pt idx="3">
                  <c:v>11.4285522504774</c:v>
                </c:pt>
                <c:pt idx="4">
                  <c:v>9.940861433988513</c:v>
                </c:pt>
                <c:pt idx="5">
                  <c:v>8.61954151690665</c:v>
                </c:pt>
                <c:pt idx="6">
                  <c:v>7.896535790022088</c:v>
                </c:pt>
                <c:pt idx="7">
                  <c:v>6.662798134053184</c:v>
                </c:pt>
                <c:pt idx="8">
                  <c:v>5.774585800630146</c:v>
                </c:pt>
              </c:numCache>
            </c:numRef>
          </c:xVal>
          <c:yVal>
            <c:numRef>
              <c:f>'4010-485KV'!$K$55:$K$63</c:f>
              <c:numCache>
                <c:formatCode>General</c:formatCode>
                <c:ptCount val="9"/>
                <c:pt idx="0">
                  <c:v>1709.816156969157</c:v>
                </c:pt>
                <c:pt idx="1">
                  <c:v>1465.321604081416</c:v>
                </c:pt>
                <c:pt idx="2">
                  <c:v>1288.299110836869</c:v>
                </c:pt>
                <c:pt idx="3">
                  <c:v>1121.180487605497</c:v>
                </c:pt>
                <c:pt idx="4">
                  <c:v>964.2475511406866</c:v>
                </c:pt>
                <c:pt idx="5">
                  <c:v>824.8646818651131</c:v>
                </c:pt>
                <c:pt idx="6">
                  <c:v>748.59654164183</c:v>
                </c:pt>
                <c:pt idx="7">
                  <c:v>618.452515052104</c:v>
                </c:pt>
                <c:pt idx="8">
                  <c:v>524.7571261020388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'4010-485KV'!$E$75:$E$80</c:f>
              <c:numCache>
                <c:formatCode>General</c:formatCode>
                <c:ptCount val="6"/>
                <c:pt idx="0">
                  <c:v>17.54194748383083</c:v>
                </c:pt>
                <c:pt idx="1">
                  <c:v>12.11915022171346</c:v>
                </c:pt>
                <c:pt idx="2">
                  <c:v>9.164901692196382</c:v>
                </c:pt>
                <c:pt idx="3">
                  <c:v>8.287823528778542</c:v>
                </c:pt>
                <c:pt idx="4">
                  <c:v>7.435841426396444</c:v>
                </c:pt>
                <c:pt idx="5">
                  <c:v>6.105476380418057</c:v>
                </c:pt>
              </c:numCache>
            </c:numRef>
          </c:xVal>
          <c:yVal>
            <c:numRef>
              <c:f>'4010-485KV'!$K$75:$K$80</c:f>
              <c:numCache>
                <c:formatCode>General</c:formatCode>
                <c:ptCount val="6"/>
                <c:pt idx="0">
                  <c:v>1648.851417604296</c:v>
                </c:pt>
                <c:pt idx="1">
                  <c:v>1114.780518047464</c:v>
                </c:pt>
                <c:pt idx="2">
                  <c:v>823.8276954708782</c:v>
                </c:pt>
                <c:pt idx="3">
                  <c:v>737.4475670838822</c:v>
                </c:pt>
                <c:pt idx="4">
                  <c:v>653.5390553266522</c:v>
                </c:pt>
                <c:pt idx="5">
                  <c:v>522.5164073275852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'4010-485KV'!$E$92:$E$101</c:f>
              <c:numCache>
                <c:formatCode>General</c:formatCode>
                <c:ptCount val="10"/>
                <c:pt idx="0">
                  <c:v>15.67300491955878</c:v>
                </c:pt>
                <c:pt idx="1">
                  <c:v>13.46249913047295</c:v>
                </c:pt>
                <c:pt idx="2">
                  <c:v>11.53458605066077</c:v>
                </c:pt>
                <c:pt idx="3">
                  <c:v>9.750367867635077</c:v>
                </c:pt>
                <c:pt idx="4">
                  <c:v>8.113858859221817</c:v>
                </c:pt>
                <c:pt idx="5">
                  <c:v>7.43170870514523</c:v>
                </c:pt>
                <c:pt idx="6">
                  <c:v>6.629263764398637</c:v>
                </c:pt>
                <c:pt idx="7">
                  <c:v>5.726098373577076</c:v>
                </c:pt>
                <c:pt idx="8">
                  <c:v>5.3009906798959</c:v>
                </c:pt>
                <c:pt idx="9">
                  <c:v>5.014044103062464</c:v>
                </c:pt>
              </c:numCache>
            </c:numRef>
          </c:xVal>
          <c:yVal>
            <c:numRef>
              <c:f>'4010-485KV'!$K$92:$K$101</c:f>
              <c:numCache>
                <c:formatCode>General</c:formatCode>
                <c:ptCount val="10"/>
                <c:pt idx="0">
                  <c:v>1851.708138218621</c:v>
                </c:pt>
                <c:pt idx="1">
                  <c:v>1576.497339770875</c:v>
                </c:pt>
                <c:pt idx="2">
                  <c:v>1336.469695123751</c:v>
                </c:pt>
                <c:pt idx="3">
                  <c:v>1114.332248942908</c:v>
                </c:pt>
                <c:pt idx="4">
                  <c:v>910.584783952664</c:v>
                </c:pt>
                <c:pt idx="5">
                  <c:v>825.6562171551674</c:v>
                </c:pt>
                <c:pt idx="6">
                  <c:v>725.7507955346112</c:v>
                </c:pt>
                <c:pt idx="7">
                  <c:v>613.3055490369358</c:v>
                </c:pt>
                <c:pt idx="8">
                  <c:v>560.3790973705091</c:v>
                </c:pt>
                <c:pt idx="9">
                  <c:v>524.653881489119</c:v>
                </c:pt>
              </c:numCache>
            </c:numRef>
          </c:yVal>
          <c:smooth val="1"/>
        </c:ser>
        <c:axId val="764199464"/>
        <c:axId val="764202488"/>
      </c:scatterChart>
      <c:valAx>
        <c:axId val="764199464"/>
        <c:scaling>
          <c:orientation val="minMax"/>
        </c:scaling>
        <c:axPos val="b"/>
        <c:numFmt formatCode="General" sourceLinked="1"/>
        <c:tickLblPos val="nextTo"/>
        <c:crossAx val="764202488"/>
        <c:crosses val="autoZero"/>
        <c:crossBetween val="midCat"/>
      </c:valAx>
      <c:valAx>
        <c:axId val="764202488"/>
        <c:scaling>
          <c:orientation val="minMax"/>
        </c:scaling>
        <c:axPos val="l"/>
        <c:majorGridlines/>
        <c:numFmt formatCode="General" sourceLinked="1"/>
        <c:tickLblPos val="nextTo"/>
        <c:crossAx val="7641994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rendement Turnigy 2810Q-750Kv/traction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'4010-485KV'!$K$14:$K$23</c:f>
              <c:numCache>
                <c:formatCode>General</c:formatCode>
                <c:ptCount val="10"/>
                <c:pt idx="0">
                  <c:v>1958.721023022467</c:v>
                </c:pt>
                <c:pt idx="1">
                  <c:v>1487.253204049257</c:v>
                </c:pt>
                <c:pt idx="2">
                  <c:v>1432.56895608389</c:v>
                </c:pt>
                <c:pt idx="3">
                  <c:v>1346.284300185539</c:v>
                </c:pt>
                <c:pt idx="4">
                  <c:v>1180.902156793429</c:v>
                </c:pt>
                <c:pt idx="5">
                  <c:v>1025.276305390068</c:v>
                </c:pt>
                <c:pt idx="6">
                  <c:v>912.2276703621638</c:v>
                </c:pt>
                <c:pt idx="7">
                  <c:v>744.1605335872025</c:v>
                </c:pt>
                <c:pt idx="8">
                  <c:v>680.3246300181484</c:v>
                </c:pt>
                <c:pt idx="9">
                  <c:v>612.5547604060425</c:v>
                </c:pt>
              </c:numCache>
            </c:numRef>
          </c:xVal>
          <c:yVal>
            <c:numRef>
              <c:f>'4010-485KV'!$H$14:$H$23</c:f>
              <c:numCache>
                <c:formatCode>General</c:formatCode>
                <c:ptCount val="10"/>
                <c:pt idx="0">
                  <c:v>87.937621058202</c:v>
                </c:pt>
                <c:pt idx="1">
                  <c:v>87.3125547289064</c:v>
                </c:pt>
                <c:pt idx="2">
                  <c:v>87.19063852173392</c:v>
                </c:pt>
                <c:pt idx="3">
                  <c:v>86.96771847632499</c:v>
                </c:pt>
                <c:pt idx="4">
                  <c:v>86.40901672217357</c:v>
                </c:pt>
                <c:pt idx="5">
                  <c:v>85.66456234963097</c:v>
                </c:pt>
                <c:pt idx="6">
                  <c:v>84.93057116267674</c:v>
                </c:pt>
                <c:pt idx="7">
                  <c:v>83.3760889904658</c:v>
                </c:pt>
                <c:pt idx="8">
                  <c:v>82.57405540041078</c:v>
                </c:pt>
                <c:pt idx="9">
                  <c:v>81.53999252741997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'4010-485KV'!$K$35:$K$43</c:f>
              <c:numCache>
                <c:formatCode>General</c:formatCode>
                <c:ptCount val="9"/>
                <c:pt idx="0">
                  <c:v>1775.839763510259</c:v>
                </c:pt>
                <c:pt idx="1">
                  <c:v>1525.557616108829</c:v>
                </c:pt>
                <c:pt idx="2">
                  <c:v>1329.363752487027</c:v>
                </c:pt>
                <c:pt idx="3">
                  <c:v>1144.801498323805</c:v>
                </c:pt>
                <c:pt idx="4">
                  <c:v>972.2493469769834</c:v>
                </c:pt>
                <c:pt idx="5">
                  <c:v>824.4517171819367</c:v>
                </c:pt>
                <c:pt idx="6">
                  <c:v>664.795909156894</c:v>
                </c:pt>
                <c:pt idx="7">
                  <c:v>596.0909219886967</c:v>
                </c:pt>
                <c:pt idx="8">
                  <c:v>524.4186602816534</c:v>
                </c:pt>
              </c:numCache>
            </c:numRef>
          </c:xVal>
          <c:yVal>
            <c:numRef>
              <c:f>'4010-485KV'!$H$35:$H$43</c:f>
              <c:numCache>
                <c:formatCode>General</c:formatCode>
                <c:ptCount val="9"/>
                <c:pt idx="0">
                  <c:v>86.24283049872649</c:v>
                </c:pt>
                <c:pt idx="1">
                  <c:v>86.12027219446436</c:v>
                </c:pt>
                <c:pt idx="2">
                  <c:v>85.88586953048292</c:v>
                </c:pt>
                <c:pt idx="3">
                  <c:v>85.48865630249016</c:v>
                </c:pt>
                <c:pt idx="4">
                  <c:v>84.87154402331047</c:v>
                </c:pt>
                <c:pt idx="5">
                  <c:v>84.03956606053443</c:v>
                </c:pt>
                <c:pt idx="6">
                  <c:v>82.61034975349644</c:v>
                </c:pt>
                <c:pt idx="7">
                  <c:v>81.72718114593752</c:v>
                </c:pt>
                <c:pt idx="8">
                  <c:v>80.54590289954761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'4010-485KV'!$K$55:$K$63</c:f>
              <c:numCache>
                <c:formatCode>General</c:formatCode>
                <c:ptCount val="9"/>
                <c:pt idx="0">
                  <c:v>1709.816156969157</c:v>
                </c:pt>
                <c:pt idx="1">
                  <c:v>1465.321604081416</c:v>
                </c:pt>
                <c:pt idx="2">
                  <c:v>1288.299110836869</c:v>
                </c:pt>
                <c:pt idx="3">
                  <c:v>1121.180487605497</c:v>
                </c:pt>
                <c:pt idx="4">
                  <c:v>964.2475511406866</c:v>
                </c:pt>
                <c:pt idx="5">
                  <c:v>824.8646818651131</c:v>
                </c:pt>
                <c:pt idx="6">
                  <c:v>748.59654164183</c:v>
                </c:pt>
                <c:pt idx="7">
                  <c:v>618.452515052104</c:v>
                </c:pt>
                <c:pt idx="8">
                  <c:v>524.7571261020388</c:v>
                </c:pt>
              </c:numCache>
            </c:numRef>
          </c:xVal>
          <c:yVal>
            <c:numRef>
              <c:f>'4010-485KV'!$H$55:$H$63</c:f>
              <c:numCache>
                <c:formatCode>General</c:formatCode>
                <c:ptCount val="9"/>
                <c:pt idx="0">
                  <c:v>86.84413685457466</c:v>
                </c:pt>
                <c:pt idx="1">
                  <c:v>86.6829348740799</c:v>
                </c:pt>
                <c:pt idx="2">
                  <c:v>86.4372926091902</c:v>
                </c:pt>
                <c:pt idx="3">
                  <c:v>86.05055024347015</c:v>
                </c:pt>
                <c:pt idx="4">
                  <c:v>85.47763084403734</c:v>
                </c:pt>
                <c:pt idx="5">
                  <c:v>84.70373195140718</c:v>
                </c:pt>
                <c:pt idx="6">
                  <c:v>84.12416050306301</c:v>
                </c:pt>
                <c:pt idx="7">
                  <c:v>82.74737110988923</c:v>
                </c:pt>
                <c:pt idx="8">
                  <c:v>81.29711231727471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'4010-485KV'!$K$75:$K$80</c:f>
              <c:numCache>
                <c:formatCode>General</c:formatCode>
                <c:ptCount val="6"/>
                <c:pt idx="0">
                  <c:v>1648.851417604296</c:v>
                </c:pt>
                <c:pt idx="1">
                  <c:v>1114.780518047464</c:v>
                </c:pt>
                <c:pt idx="2">
                  <c:v>823.8276954708782</c:v>
                </c:pt>
                <c:pt idx="3">
                  <c:v>737.4475670838822</c:v>
                </c:pt>
                <c:pt idx="4">
                  <c:v>653.5390553266522</c:v>
                </c:pt>
                <c:pt idx="5">
                  <c:v>522.5164073275852</c:v>
                </c:pt>
              </c:numCache>
            </c:numRef>
          </c:xVal>
          <c:yVal>
            <c:numRef>
              <c:f>'4010-485KV'!$H$75:$H$80</c:f>
              <c:numCache>
                <c:formatCode>General</c:formatCode>
                <c:ptCount val="6"/>
                <c:pt idx="0">
                  <c:v>83.96316796706557</c:v>
                </c:pt>
                <c:pt idx="1">
                  <c:v>83.7775994162545</c:v>
                </c:pt>
                <c:pt idx="2">
                  <c:v>82.8962922323671</c:v>
                </c:pt>
                <c:pt idx="3">
                  <c:v>82.3914723189114</c:v>
                </c:pt>
                <c:pt idx="4">
                  <c:v>81.72067798919523</c:v>
                </c:pt>
                <c:pt idx="5">
                  <c:v>80.12575569927578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'4010-485KV'!$K$92:$K$101</c:f>
              <c:numCache>
                <c:formatCode>General</c:formatCode>
                <c:ptCount val="10"/>
                <c:pt idx="0">
                  <c:v>1851.708138218621</c:v>
                </c:pt>
                <c:pt idx="1">
                  <c:v>1576.497339770875</c:v>
                </c:pt>
                <c:pt idx="2">
                  <c:v>1336.469695123751</c:v>
                </c:pt>
                <c:pt idx="3">
                  <c:v>1114.332248942908</c:v>
                </c:pt>
                <c:pt idx="4">
                  <c:v>910.584783952664</c:v>
                </c:pt>
                <c:pt idx="5">
                  <c:v>825.6562171551674</c:v>
                </c:pt>
                <c:pt idx="6">
                  <c:v>725.7507955346112</c:v>
                </c:pt>
                <c:pt idx="7">
                  <c:v>613.3055490369358</c:v>
                </c:pt>
                <c:pt idx="8">
                  <c:v>560.3790973705091</c:v>
                </c:pt>
                <c:pt idx="9">
                  <c:v>524.653881489119</c:v>
                </c:pt>
              </c:numCache>
            </c:numRef>
          </c:xVal>
          <c:yVal>
            <c:numRef>
              <c:f>'4010-485KV'!$H$92:$H$101</c:f>
              <c:numCache>
                <c:formatCode>General</c:formatCode>
                <c:ptCount val="10"/>
                <c:pt idx="0">
                  <c:v>88.4456544280928</c:v>
                </c:pt>
                <c:pt idx="1">
                  <c:v>88.07805345452657</c:v>
                </c:pt>
                <c:pt idx="2">
                  <c:v>87.53439887815699</c:v>
                </c:pt>
                <c:pt idx="3">
                  <c:v>86.72330623779942</c:v>
                </c:pt>
                <c:pt idx="4">
                  <c:v>85.53530415387456</c:v>
                </c:pt>
                <c:pt idx="5">
                  <c:v>84.84174380512844</c:v>
                </c:pt>
                <c:pt idx="6">
                  <c:v>83.80323308783363</c:v>
                </c:pt>
                <c:pt idx="7">
                  <c:v>82.22235074997242</c:v>
                </c:pt>
                <c:pt idx="8">
                  <c:v>81.26482217330772</c:v>
                </c:pt>
                <c:pt idx="9">
                  <c:v>80.5158128009564</c:v>
                </c:pt>
              </c:numCache>
            </c:numRef>
          </c:yVal>
          <c:smooth val="1"/>
        </c:ser>
        <c:axId val="764170072"/>
        <c:axId val="764173224"/>
      </c:scatterChart>
      <c:valAx>
        <c:axId val="764170072"/>
        <c:scaling>
          <c:orientation val="minMax"/>
        </c:scaling>
        <c:axPos val="b"/>
        <c:numFmt formatCode="General" sourceLinked="1"/>
        <c:tickLblPos val="nextTo"/>
        <c:crossAx val="764173224"/>
        <c:crosses val="autoZero"/>
        <c:crossBetween val="midCat"/>
      </c:valAx>
      <c:valAx>
        <c:axId val="764173224"/>
        <c:scaling>
          <c:orientation val="minMax"/>
        </c:scaling>
        <c:axPos val="l"/>
        <c:majorGridlines/>
        <c:numFmt formatCode="General" sourceLinked="1"/>
        <c:tickLblPos val="nextTo"/>
        <c:crossAx val="7641700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temps de vol à 65% des 5Ah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'4010-485KV'!$K$14:$K$23</c:f>
              <c:numCache>
                <c:formatCode>General</c:formatCode>
                <c:ptCount val="10"/>
                <c:pt idx="0">
                  <c:v>1958.721023022467</c:v>
                </c:pt>
                <c:pt idx="1">
                  <c:v>1487.253204049257</c:v>
                </c:pt>
                <c:pt idx="2">
                  <c:v>1432.56895608389</c:v>
                </c:pt>
                <c:pt idx="3">
                  <c:v>1346.284300185539</c:v>
                </c:pt>
                <c:pt idx="4">
                  <c:v>1180.902156793429</c:v>
                </c:pt>
                <c:pt idx="5">
                  <c:v>1025.276305390068</c:v>
                </c:pt>
                <c:pt idx="6">
                  <c:v>912.2276703621638</c:v>
                </c:pt>
                <c:pt idx="7">
                  <c:v>744.1605335872025</c:v>
                </c:pt>
                <c:pt idx="8">
                  <c:v>680.3246300181484</c:v>
                </c:pt>
                <c:pt idx="9">
                  <c:v>612.5547604060425</c:v>
                </c:pt>
              </c:numCache>
            </c:numRef>
          </c:xVal>
          <c:yVal>
            <c:numRef>
              <c:f>'4010-485KV'!$O$14:$O$23</c:f>
              <c:numCache>
                <c:formatCode>General</c:formatCode>
                <c:ptCount val="10"/>
                <c:pt idx="0">
                  <c:v>4.870462775233146</c:v>
                </c:pt>
                <c:pt idx="1">
                  <c:v>6.314435025396874</c:v>
                </c:pt>
                <c:pt idx="2">
                  <c:v>6.539304426912897</c:v>
                </c:pt>
                <c:pt idx="3">
                  <c:v>6.928631549331071</c:v>
                </c:pt>
                <c:pt idx="4">
                  <c:v>7.821130423546727</c:v>
                </c:pt>
                <c:pt idx="5">
                  <c:v>8.899927619105195</c:v>
                </c:pt>
                <c:pt idx="6">
                  <c:v>9.890971320725631</c:v>
                </c:pt>
                <c:pt idx="7">
                  <c:v>11.85325307977348</c:v>
                </c:pt>
                <c:pt idx="8">
                  <c:v>12.8192295725424</c:v>
                </c:pt>
                <c:pt idx="9">
                  <c:v>14.03335070870024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'4010-485KV'!$K$35:$K$43</c:f>
              <c:numCache>
                <c:formatCode>General</c:formatCode>
                <c:ptCount val="9"/>
                <c:pt idx="0">
                  <c:v>1775.839763510259</c:v>
                </c:pt>
                <c:pt idx="1">
                  <c:v>1525.557616108829</c:v>
                </c:pt>
                <c:pt idx="2">
                  <c:v>1329.363752487027</c:v>
                </c:pt>
                <c:pt idx="3">
                  <c:v>1144.801498323805</c:v>
                </c:pt>
                <c:pt idx="4">
                  <c:v>972.2493469769834</c:v>
                </c:pt>
                <c:pt idx="5">
                  <c:v>824.4517171819367</c:v>
                </c:pt>
                <c:pt idx="6">
                  <c:v>664.795909156894</c:v>
                </c:pt>
                <c:pt idx="7">
                  <c:v>596.0909219886967</c:v>
                </c:pt>
                <c:pt idx="8">
                  <c:v>524.4186602816534</c:v>
                </c:pt>
              </c:numCache>
            </c:numRef>
          </c:xVal>
          <c:yVal>
            <c:numRef>
              <c:f>'4010-485KV'!$O$35:$O$43</c:f>
              <c:numCache>
                <c:formatCode>General</c:formatCode>
                <c:ptCount val="9"/>
                <c:pt idx="0">
                  <c:v>4.595832884140913</c:v>
                </c:pt>
                <c:pt idx="1">
                  <c:v>5.308768786614392</c:v>
                </c:pt>
                <c:pt idx="2">
                  <c:v>6.04369616707384</c:v>
                </c:pt>
                <c:pt idx="3">
                  <c:v>6.948607108135655</c:v>
                </c:pt>
                <c:pt idx="4">
                  <c:v>8.07963238202329</c:v>
                </c:pt>
                <c:pt idx="5">
                  <c:v>9.3885775088233</c:v>
                </c:pt>
                <c:pt idx="6">
                  <c:v>11.38014421759086</c:v>
                </c:pt>
                <c:pt idx="7">
                  <c:v>12.52333467196004</c:v>
                </c:pt>
                <c:pt idx="8">
                  <c:v>13.98932245471952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'4010-485KV'!$K$55:$K$63</c:f>
              <c:numCache>
                <c:formatCode>General</c:formatCode>
                <c:ptCount val="9"/>
                <c:pt idx="0">
                  <c:v>1709.816156969157</c:v>
                </c:pt>
                <c:pt idx="1">
                  <c:v>1465.321604081416</c:v>
                </c:pt>
                <c:pt idx="2">
                  <c:v>1288.299110836869</c:v>
                </c:pt>
                <c:pt idx="3">
                  <c:v>1121.180487605497</c:v>
                </c:pt>
                <c:pt idx="4">
                  <c:v>964.2475511406866</c:v>
                </c:pt>
                <c:pt idx="5">
                  <c:v>824.8646818651131</c:v>
                </c:pt>
                <c:pt idx="6">
                  <c:v>748.59654164183</c:v>
                </c:pt>
                <c:pt idx="7">
                  <c:v>618.452515052104</c:v>
                </c:pt>
                <c:pt idx="8">
                  <c:v>524.7571261020388</c:v>
                </c:pt>
              </c:numCache>
            </c:numRef>
          </c:xVal>
          <c:yVal>
            <c:numRef>
              <c:f>'4010-485KV'!$O$55:$O$63</c:f>
              <c:numCache>
                <c:formatCode>General</c:formatCode>
                <c:ptCount val="9"/>
                <c:pt idx="0">
                  <c:v>4.585890275563521</c:v>
                </c:pt>
                <c:pt idx="1">
                  <c:v>5.309395946319019</c:v>
                </c:pt>
                <c:pt idx="2">
                  <c:v>5.994097562185846</c:v>
                </c:pt>
                <c:pt idx="3">
                  <c:v>6.825011452937244</c:v>
                </c:pt>
                <c:pt idx="4">
                  <c:v>7.846402499215254</c:v>
                </c:pt>
                <c:pt idx="5">
                  <c:v>9.049205209698015</c:v>
                </c:pt>
                <c:pt idx="6">
                  <c:v>9.87774918953186</c:v>
                </c:pt>
                <c:pt idx="7">
                  <c:v>11.70679321670372</c:v>
                </c:pt>
                <c:pt idx="8">
                  <c:v>13.507462299978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'4010-485KV'!$K$75:$K$80</c:f>
              <c:numCache>
                <c:formatCode>General</c:formatCode>
                <c:ptCount val="6"/>
                <c:pt idx="0">
                  <c:v>1648.851417604296</c:v>
                </c:pt>
                <c:pt idx="1">
                  <c:v>1114.780518047464</c:v>
                </c:pt>
                <c:pt idx="2">
                  <c:v>823.8276954708782</c:v>
                </c:pt>
                <c:pt idx="3">
                  <c:v>737.4475670838822</c:v>
                </c:pt>
                <c:pt idx="4">
                  <c:v>653.5390553266522</c:v>
                </c:pt>
                <c:pt idx="5">
                  <c:v>522.5164073275852</c:v>
                </c:pt>
              </c:numCache>
            </c:numRef>
          </c:xVal>
          <c:yVal>
            <c:numRef>
              <c:f>'4010-485KV'!$O$75:$O$80</c:f>
              <c:numCache>
                <c:formatCode>General</c:formatCode>
                <c:ptCount val="6"/>
                <c:pt idx="0">
                  <c:v>4.44648463757493</c:v>
                </c:pt>
                <c:pt idx="1">
                  <c:v>6.436094822906814</c:v>
                </c:pt>
                <c:pt idx="2">
                  <c:v>8.51072958768499</c:v>
                </c:pt>
                <c:pt idx="3">
                  <c:v>9.411397302217368</c:v>
                </c:pt>
                <c:pt idx="4">
                  <c:v>10.48973418436659</c:v>
                </c:pt>
                <c:pt idx="5">
                  <c:v>12.7754158955012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'4010-485KV'!$K$92:$K$101</c:f>
              <c:numCache>
                <c:formatCode>General</c:formatCode>
                <c:ptCount val="10"/>
                <c:pt idx="0">
                  <c:v>1851.708138218621</c:v>
                </c:pt>
                <c:pt idx="1">
                  <c:v>1576.497339770875</c:v>
                </c:pt>
                <c:pt idx="2">
                  <c:v>1336.469695123751</c:v>
                </c:pt>
                <c:pt idx="3">
                  <c:v>1114.332248942908</c:v>
                </c:pt>
                <c:pt idx="4">
                  <c:v>910.584783952664</c:v>
                </c:pt>
                <c:pt idx="5">
                  <c:v>825.6562171551674</c:v>
                </c:pt>
                <c:pt idx="6">
                  <c:v>725.7507955346112</c:v>
                </c:pt>
                <c:pt idx="7">
                  <c:v>613.3055490369358</c:v>
                </c:pt>
                <c:pt idx="8">
                  <c:v>560.3790973705091</c:v>
                </c:pt>
                <c:pt idx="9">
                  <c:v>524.653881489119</c:v>
                </c:pt>
              </c:numCache>
            </c:numRef>
          </c:xVal>
          <c:yVal>
            <c:numRef>
              <c:f>'4010-485KV'!$O$92:$O$101</c:f>
              <c:numCache>
                <c:formatCode>General</c:formatCode>
                <c:ptCount val="10"/>
                <c:pt idx="0">
                  <c:v>4.976709980015485</c:v>
                </c:pt>
                <c:pt idx="1">
                  <c:v>5.79387224051466</c:v>
                </c:pt>
                <c:pt idx="2">
                  <c:v>6.762271281987763</c:v>
                </c:pt>
                <c:pt idx="3">
                  <c:v>7.999698171277168</c:v>
                </c:pt>
                <c:pt idx="4">
                  <c:v>9.613181761394456</c:v>
                </c:pt>
                <c:pt idx="5">
                  <c:v>10.49556745220623</c:v>
                </c:pt>
                <c:pt idx="6">
                  <c:v>11.7660124520744</c:v>
                </c:pt>
                <c:pt idx="7">
                  <c:v>13.62184072141143</c:v>
                </c:pt>
                <c:pt idx="8">
                  <c:v>14.71423073724999</c:v>
                </c:pt>
                <c:pt idx="9">
                  <c:v>15.55630512949804</c:v>
                </c:pt>
              </c:numCache>
            </c:numRef>
          </c:yVal>
          <c:smooth val="1"/>
        </c:ser>
        <c:axId val="764100328"/>
        <c:axId val="764103480"/>
      </c:scatterChart>
      <c:valAx>
        <c:axId val="764100328"/>
        <c:scaling>
          <c:orientation val="minMax"/>
        </c:scaling>
        <c:axPos val="b"/>
        <c:numFmt formatCode="General" sourceLinked="1"/>
        <c:tickLblPos val="nextTo"/>
        <c:crossAx val="764103480"/>
        <c:crosses val="autoZero"/>
        <c:crossBetween val="midCat"/>
      </c:valAx>
      <c:valAx>
        <c:axId val="764103480"/>
        <c:scaling>
          <c:orientation val="minMax"/>
        </c:scaling>
        <c:axPos val="l"/>
        <c:majorGridlines/>
        <c:numFmt formatCode="General" sourceLinked="1"/>
        <c:tickLblPos val="nextTo"/>
        <c:crossAx val="7641003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globale (grs/W)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'AX-4008Q-620Kv'!$F$14:$F$23</c:f>
              <c:numCache>
                <c:formatCode>General</c:formatCode>
                <c:ptCount val="10"/>
                <c:pt idx="0">
                  <c:v>272.1171379919729</c:v>
                </c:pt>
                <c:pt idx="1">
                  <c:v>174.3474152925053</c:v>
                </c:pt>
                <c:pt idx="2">
                  <c:v>190.6311423713385</c:v>
                </c:pt>
                <c:pt idx="3">
                  <c:v>152.9165780859118</c:v>
                </c:pt>
                <c:pt idx="4">
                  <c:v>120.2674489812845</c:v>
                </c:pt>
                <c:pt idx="5">
                  <c:v>92.40347088468255</c:v>
                </c:pt>
                <c:pt idx="6">
                  <c:v>82.76986557015454</c:v>
                </c:pt>
                <c:pt idx="7">
                  <c:v>69.02696185620552</c:v>
                </c:pt>
                <c:pt idx="8">
                  <c:v>49.82105530647037</c:v>
                </c:pt>
                <c:pt idx="9">
                  <c:v>42.6054099414748</c:v>
                </c:pt>
              </c:numCache>
            </c:numRef>
          </c:xVal>
          <c:yVal>
            <c:numRef>
              <c:f>'AX-4008Q-620Kv'!$L$14:$L$23</c:f>
              <c:numCache>
                <c:formatCode>General</c:formatCode>
                <c:ptCount val="10"/>
                <c:pt idx="0">
                  <c:v>6.693404186282471</c:v>
                </c:pt>
                <c:pt idx="1">
                  <c:v>7.828745474147946</c:v>
                </c:pt>
                <c:pt idx="2">
                  <c:v>7.588098018566565</c:v>
                </c:pt>
                <c:pt idx="3">
                  <c:v>8.194559111739284</c:v>
                </c:pt>
                <c:pt idx="4">
                  <c:v>8.903845484103035</c:v>
                </c:pt>
                <c:pt idx="5">
                  <c:v>9.743600652397008</c:v>
                </c:pt>
                <c:pt idx="6">
                  <c:v>10.11423697549095</c:v>
                </c:pt>
                <c:pt idx="7">
                  <c:v>10.75182574650355</c:v>
                </c:pt>
                <c:pt idx="8">
                  <c:v>11.98178951015021</c:v>
                </c:pt>
                <c:pt idx="9">
                  <c:v>12.611735262957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'AX-4008Q-620Kv'!$F$35:$F$43</c:f>
              <c:numCache>
                <c:formatCode>General</c:formatCode>
                <c:ptCount val="9"/>
                <c:pt idx="0">
                  <c:v>275.8520703125066</c:v>
                </c:pt>
                <c:pt idx="1">
                  <c:v>217.9078705754966</c:v>
                </c:pt>
                <c:pt idx="2">
                  <c:v>172.2885564716825</c:v>
                </c:pt>
                <c:pt idx="3">
                  <c:v>133.0686226920802</c:v>
                </c:pt>
                <c:pt idx="4">
                  <c:v>99.9107279393625</c:v>
                </c:pt>
                <c:pt idx="5">
                  <c:v>82.23790843230391</c:v>
                </c:pt>
                <c:pt idx="6">
                  <c:v>72.44869107797264</c:v>
                </c:pt>
                <c:pt idx="7">
                  <c:v>50.2833218002243</c:v>
                </c:pt>
                <c:pt idx="8">
                  <c:v>41.22498732802313</c:v>
                </c:pt>
              </c:numCache>
            </c:numRef>
          </c:xVal>
          <c:yVal>
            <c:numRef>
              <c:f>'AX-4008Q-620Kv'!$L$35:$L$43</c:f>
              <c:numCache>
                <c:formatCode>General</c:formatCode>
                <c:ptCount val="9"/>
                <c:pt idx="0">
                  <c:v>6.463827934414204</c:v>
                </c:pt>
                <c:pt idx="1">
                  <c:v>7.040067620941243</c:v>
                </c:pt>
                <c:pt idx="2">
                  <c:v>7.659511121767115</c:v>
                </c:pt>
                <c:pt idx="3">
                  <c:v>8.396334887152525</c:v>
                </c:pt>
                <c:pt idx="4">
                  <c:v>9.28650795246435</c:v>
                </c:pt>
                <c:pt idx="5">
                  <c:v>9.937230852861315</c:v>
                </c:pt>
                <c:pt idx="6">
                  <c:v>10.38179302455979</c:v>
                </c:pt>
                <c:pt idx="7">
                  <c:v>11.75892470546964</c:v>
                </c:pt>
                <c:pt idx="8">
                  <c:v>12.56996973242868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'AX-4008Q-620Kv'!$F$55:$F$63</c:f>
              <c:numCache>
                <c:formatCode>General</c:formatCode>
                <c:ptCount val="9"/>
                <c:pt idx="0">
                  <c:v>296.7237914763136</c:v>
                </c:pt>
                <c:pt idx="1">
                  <c:v>242.8792297171429</c:v>
                </c:pt>
                <c:pt idx="2">
                  <c:v>195.4921946907806</c:v>
                </c:pt>
                <c:pt idx="3">
                  <c:v>154.2784598326722</c:v>
                </c:pt>
                <c:pt idx="4">
                  <c:v>118.9333762445429</c:v>
                </c:pt>
                <c:pt idx="5">
                  <c:v>93.53991430213632</c:v>
                </c:pt>
                <c:pt idx="6">
                  <c:v>64.51326281947753</c:v>
                </c:pt>
                <c:pt idx="7">
                  <c:v>54.03234228136206</c:v>
                </c:pt>
                <c:pt idx="8">
                  <c:v>46.83945515039392</c:v>
                </c:pt>
              </c:numCache>
            </c:numRef>
          </c:xVal>
          <c:yVal>
            <c:numRef>
              <c:f>'AX-4008Q-620Kv'!$L$55:$L$63</c:f>
              <c:numCache>
                <c:formatCode>General</c:formatCode>
                <c:ptCount val="9"/>
                <c:pt idx="0">
                  <c:v>5.810750878984517</c:v>
                </c:pt>
                <c:pt idx="1">
                  <c:v>6.245653635469581</c:v>
                </c:pt>
                <c:pt idx="2">
                  <c:v>6.74991198338116</c:v>
                </c:pt>
                <c:pt idx="3">
                  <c:v>7.341224056278946</c:v>
                </c:pt>
                <c:pt idx="4">
                  <c:v>8.043706288014887</c:v>
                </c:pt>
                <c:pt idx="5">
                  <c:v>8.743920490493853</c:v>
                </c:pt>
                <c:pt idx="6">
                  <c:v>9.931087703499748</c:v>
                </c:pt>
                <c:pt idx="7">
                  <c:v>10.5443084412752</c:v>
                </c:pt>
                <c:pt idx="8">
                  <c:v>11.06116144433588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'AX-4008Q-620Kv'!$F$75:$F$80</c:f>
              <c:numCache>
                <c:formatCode>General</c:formatCode>
                <c:ptCount val="6"/>
                <c:pt idx="0">
                  <c:v>230.1766433742556</c:v>
                </c:pt>
                <c:pt idx="1">
                  <c:v>142.1938698314356</c:v>
                </c:pt>
                <c:pt idx="2">
                  <c:v>78.68777977389199</c:v>
                </c:pt>
                <c:pt idx="3">
                  <c:v>48.01921545384597</c:v>
                </c:pt>
                <c:pt idx="4">
                  <c:v>42.81360948851803</c:v>
                </c:pt>
                <c:pt idx="5">
                  <c:v>38.91365881257706</c:v>
                </c:pt>
              </c:numCache>
            </c:numRef>
          </c:xVal>
          <c:yVal>
            <c:numRef>
              <c:f>'AX-4008Q-620Kv'!$L$75:$L$80</c:f>
              <c:numCache>
                <c:formatCode>General</c:formatCode>
                <c:ptCount val="6"/>
                <c:pt idx="0">
                  <c:v>7.03307444878137</c:v>
                </c:pt>
                <c:pt idx="1">
                  <c:v>8.397641591860393</c:v>
                </c:pt>
                <c:pt idx="2">
                  <c:v>10.39166476403037</c:v>
                </c:pt>
                <c:pt idx="3">
                  <c:v>12.3589579467473</c:v>
                </c:pt>
                <c:pt idx="4">
                  <c:v>12.85870851883397</c:v>
                </c:pt>
                <c:pt idx="5">
                  <c:v>13.28743600555758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'AX-4008Q-620Kv'!$F$92:$F$101</c:f>
              <c:numCache>
                <c:formatCode>General</c:formatCode>
                <c:ptCount val="10"/>
                <c:pt idx="0">
                  <c:v>360.444325380729</c:v>
                </c:pt>
                <c:pt idx="1">
                  <c:v>295.4723888340761</c:v>
                </c:pt>
                <c:pt idx="2">
                  <c:v>204.423266845083</c:v>
                </c:pt>
                <c:pt idx="3">
                  <c:v>133.3735831948069</c:v>
                </c:pt>
                <c:pt idx="4">
                  <c:v>104.746379633989</c:v>
                </c:pt>
                <c:pt idx="5">
                  <c:v>90.83111876534927</c:v>
                </c:pt>
                <c:pt idx="6">
                  <c:v>69.69119792505553</c:v>
                </c:pt>
                <c:pt idx="7">
                  <c:v>59.96898948830988</c:v>
                </c:pt>
                <c:pt idx="8">
                  <c:v>51.16697701303784</c:v>
                </c:pt>
                <c:pt idx="9">
                  <c:v>45.99894732382745</c:v>
                </c:pt>
              </c:numCache>
            </c:numRef>
          </c:xVal>
          <c:yVal>
            <c:numRef>
              <c:f>'AX-4008Q-620Kv'!$L$92:$L$101</c:f>
              <c:numCache>
                <c:formatCode>General</c:formatCode>
                <c:ptCount val="10"/>
                <c:pt idx="0">
                  <c:v>5.581273061724446</c:v>
                </c:pt>
                <c:pt idx="1">
                  <c:v>5.988123608424484</c:v>
                </c:pt>
                <c:pt idx="2">
                  <c:v>6.813653523815298</c:v>
                </c:pt>
                <c:pt idx="3">
                  <c:v>7.896944647408572</c:v>
                </c:pt>
                <c:pt idx="4">
                  <c:v>8.574892992262887</c:v>
                </c:pt>
                <c:pt idx="5">
                  <c:v>8.99815110229023</c:v>
                </c:pt>
                <c:pt idx="6">
                  <c:v>9.8325588066042</c:v>
                </c:pt>
                <c:pt idx="7">
                  <c:v>10.3341352848436</c:v>
                </c:pt>
                <c:pt idx="8">
                  <c:v>10.88687230250848</c:v>
                </c:pt>
                <c:pt idx="9">
                  <c:v>11.2709477270384</c:v>
                </c:pt>
              </c:numCache>
            </c:numRef>
          </c:yVal>
          <c:smooth val="1"/>
        </c:ser>
        <c:axId val="764001528"/>
        <c:axId val="763997704"/>
      </c:scatterChart>
      <c:valAx>
        <c:axId val="764001528"/>
        <c:scaling>
          <c:orientation val="minMax"/>
        </c:scaling>
        <c:axPos val="b"/>
        <c:numFmt formatCode="General" sourceLinked="1"/>
        <c:tickLblPos val="nextTo"/>
        <c:crossAx val="763997704"/>
        <c:crosses val="autoZero"/>
        <c:crossBetween val="midCat"/>
      </c:valAx>
      <c:valAx>
        <c:axId val="763997704"/>
        <c:scaling>
          <c:orientation val="minMax"/>
        </c:scaling>
        <c:axPos val="l"/>
        <c:majorGridlines/>
        <c:numFmt formatCode="General" sourceLinked="1"/>
        <c:tickLblPos val="nextTo"/>
        <c:crossAx val="76400152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mécanique (grs/W)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'AX-4008Q-620Kv'!$G$14:$G$23</c:f>
              <c:numCache>
                <c:formatCode>General</c:formatCode>
                <c:ptCount val="10"/>
                <c:pt idx="0">
                  <c:v>231.0977504984174</c:v>
                </c:pt>
                <c:pt idx="1">
                  <c:v>149.9176721739896</c:v>
                </c:pt>
                <c:pt idx="2">
                  <c:v>163.561646462931</c:v>
                </c:pt>
                <c:pt idx="3">
                  <c:v>131.8747182319985</c:v>
                </c:pt>
                <c:pt idx="4">
                  <c:v>104.1789247059867</c:v>
                </c:pt>
                <c:pt idx="5">
                  <c:v>80.31616076391198</c:v>
                </c:pt>
                <c:pt idx="6">
                  <c:v>72.01108620350345</c:v>
                </c:pt>
                <c:pt idx="7">
                  <c:v>60.10945132201424</c:v>
                </c:pt>
                <c:pt idx="8">
                  <c:v>43.36039324236672</c:v>
                </c:pt>
                <c:pt idx="9">
                  <c:v>37.02974240139467</c:v>
                </c:pt>
              </c:numCache>
            </c:numRef>
          </c:xVal>
          <c:yVal>
            <c:numRef>
              <c:f>'AX-4008Q-620Kv'!$L$14:$L$23</c:f>
              <c:numCache>
                <c:formatCode>General</c:formatCode>
                <c:ptCount val="10"/>
                <c:pt idx="0">
                  <c:v>6.693404186282471</c:v>
                </c:pt>
                <c:pt idx="1">
                  <c:v>7.828745474147946</c:v>
                </c:pt>
                <c:pt idx="2">
                  <c:v>7.588098018566565</c:v>
                </c:pt>
                <c:pt idx="3">
                  <c:v>8.194559111739284</c:v>
                </c:pt>
                <c:pt idx="4">
                  <c:v>8.903845484103035</c:v>
                </c:pt>
                <c:pt idx="5">
                  <c:v>9.743600652397008</c:v>
                </c:pt>
                <c:pt idx="6">
                  <c:v>10.11423697549095</c:v>
                </c:pt>
                <c:pt idx="7">
                  <c:v>10.75182574650355</c:v>
                </c:pt>
                <c:pt idx="8">
                  <c:v>11.98178951015021</c:v>
                </c:pt>
                <c:pt idx="9">
                  <c:v>12.611735262957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'AX-4008Q-620Kv'!$G$35:$G$43</c:f>
              <c:numCache>
                <c:formatCode>General</c:formatCode>
                <c:ptCount val="9"/>
                <c:pt idx="0">
                  <c:v>223.8413683340061</c:v>
                </c:pt>
                <c:pt idx="1">
                  <c:v>178.634739396925</c:v>
                </c:pt>
                <c:pt idx="2">
                  <c:v>142.5205615128283</c:v>
                </c:pt>
                <c:pt idx="3">
                  <c:v>111.0297649672801</c:v>
                </c:pt>
                <c:pt idx="4">
                  <c:v>84.02105627129987</c:v>
                </c:pt>
                <c:pt idx="5">
                  <c:v>69.45403039892334</c:v>
                </c:pt>
                <c:pt idx="6">
                  <c:v>61.32614486179011</c:v>
                </c:pt>
                <c:pt idx="7">
                  <c:v>42.74434379403473</c:v>
                </c:pt>
                <c:pt idx="8">
                  <c:v>35.06981249139358</c:v>
                </c:pt>
              </c:numCache>
            </c:numRef>
          </c:xVal>
          <c:yVal>
            <c:numRef>
              <c:f>'AX-4008Q-620Kv'!$L$35:$L$43</c:f>
              <c:numCache>
                <c:formatCode>General</c:formatCode>
                <c:ptCount val="9"/>
                <c:pt idx="0">
                  <c:v>6.463827934414204</c:v>
                </c:pt>
                <c:pt idx="1">
                  <c:v>7.040067620941243</c:v>
                </c:pt>
                <c:pt idx="2">
                  <c:v>7.659511121767115</c:v>
                </c:pt>
                <c:pt idx="3">
                  <c:v>8.396334887152525</c:v>
                </c:pt>
                <c:pt idx="4">
                  <c:v>9.28650795246435</c:v>
                </c:pt>
                <c:pt idx="5">
                  <c:v>9.937230852861315</c:v>
                </c:pt>
                <c:pt idx="6">
                  <c:v>10.38179302455979</c:v>
                </c:pt>
                <c:pt idx="7">
                  <c:v>11.75892470546964</c:v>
                </c:pt>
                <c:pt idx="8">
                  <c:v>12.56996973242868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'AX-4008Q-620Kv'!$G$55:$G$63</c:f>
              <c:numCache>
                <c:formatCode>General</c:formatCode>
                <c:ptCount val="9"/>
                <c:pt idx="0">
                  <c:v>243.8101969078105</c:v>
                </c:pt>
                <c:pt idx="1">
                  <c:v>201.1997028796841</c:v>
                </c:pt>
                <c:pt idx="2">
                  <c:v>163.2361051681804</c:v>
                </c:pt>
                <c:pt idx="3">
                  <c:v>129.8032559682235</c:v>
                </c:pt>
                <c:pt idx="4">
                  <c:v>100.7661936027313</c:v>
                </c:pt>
                <c:pt idx="5">
                  <c:v>79.65805116134045</c:v>
                </c:pt>
                <c:pt idx="6">
                  <c:v>55.22600942301963</c:v>
                </c:pt>
                <c:pt idx="7">
                  <c:v>46.31085185201997</c:v>
                </c:pt>
                <c:pt idx="8">
                  <c:v>40.16000650351582</c:v>
                </c:pt>
              </c:numCache>
            </c:numRef>
          </c:xVal>
          <c:yVal>
            <c:numRef>
              <c:f>'AX-4008Q-620Kv'!$L$55:$L$63</c:f>
              <c:numCache>
                <c:formatCode>General</c:formatCode>
                <c:ptCount val="9"/>
                <c:pt idx="0">
                  <c:v>5.810750878984517</c:v>
                </c:pt>
                <c:pt idx="1">
                  <c:v>6.245653635469581</c:v>
                </c:pt>
                <c:pt idx="2">
                  <c:v>6.74991198338116</c:v>
                </c:pt>
                <c:pt idx="3">
                  <c:v>7.341224056278946</c:v>
                </c:pt>
                <c:pt idx="4">
                  <c:v>8.043706288014887</c:v>
                </c:pt>
                <c:pt idx="5">
                  <c:v>8.743920490493853</c:v>
                </c:pt>
                <c:pt idx="6">
                  <c:v>9.931087703499748</c:v>
                </c:pt>
                <c:pt idx="7">
                  <c:v>10.5443084412752</c:v>
                </c:pt>
                <c:pt idx="8">
                  <c:v>11.06116144433588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'AX-4008Q-620Kv'!$G$75:$G$80</c:f>
              <c:numCache>
                <c:formatCode>General</c:formatCode>
                <c:ptCount val="6"/>
                <c:pt idx="0">
                  <c:v>177.6747552453485</c:v>
                </c:pt>
                <c:pt idx="1">
                  <c:v>112.5572149104432</c:v>
                </c:pt>
                <c:pt idx="2">
                  <c:v>63.78295771694966</c:v>
                </c:pt>
                <c:pt idx="3">
                  <c:v>39.43768347749999</c:v>
                </c:pt>
                <c:pt idx="4">
                  <c:v>35.2358553133214</c:v>
                </c:pt>
                <c:pt idx="5">
                  <c:v>32.07235896586141</c:v>
                </c:pt>
              </c:numCache>
            </c:numRef>
          </c:xVal>
          <c:yVal>
            <c:numRef>
              <c:f>'AX-4008Q-620Kv'!$L$75:$L$80</c:f>
              <c:numCache>
                <c:formatCode>General</c:formatCode>
                <c:ptCount val="6"/>
                <c:pt idx="0">
                  <c:v>7.03307444878137</c:v>
                </c:pt>
                <c:pt idx="1">
                  <c:v>8.397641591860393</c:v>
                </c:pt>
                <c:pt idx="2">
                  <c:v>10.39166476403037</c:v>
                </c:pt>
                <c:pt idx="3">
                  <c:v>12.3589579467473</c:v>
                </c:pt>
                <c:pt idx="4">
                  <c:v>12.85870851883397</c:v>
                </c:pt>
                <c:pt idx="5">
                  <c:v>13.28743600555758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'AX-4008Q-620Kv'!$G$92:$G$101</c:f>
              <c:numCache>
                <c:formatCode>General</c:formatCode>
                <c:ptCount val="10"/>
                <c:pt idx="0">
                  <c:v>307.6686409302745</c:v>
                </c:pt>
                <c:pt idx="1">
                  <c:v>253.7683921127468</c:v>
                </c:pt>
                <c:pt idx="2">
                  <c:v>177.252183305515</c:v>
                </c:pt>
                <c:pt idx="3">
                  <c:v>116.5519133516174</c:v>
                </c:pt>
                <c:pt idx="4">
                  <c:v>91.7862514579566</c:v>
                </c:pt>
                <c:pt idx="5">
                  <c:v>79.6724103001409</c:v>
                </c:pt>
                <c:pt idx="6">
                  <c:v>61.16356083967366</c:v>
                </c:pt>
                <c:pt idx="7">
                  <c:v>52.60503915313254</c:v>
                </c:pt>
                <c:pt idx="8">
                  <c:v>44.82965227975556</c:v>
                </c:pt>
                <c:pt idx="9">
                  <c:v>40.25209889515901</c:v>
                </c:pt>
              </c:numCache>
            </c:numRef>
          </c:xVal>
          <c:yVal>
            <c:numRef>
              <c:f>'AX-4008Q-620Kv'!$L$92:$L$101</c:f>
              <c:numCache>
                <c:formatCode>General</c:formatCode>
                <c:ptCount val="10"/>
                <c:pt idx="0">
                  <c:v>5.581273061724446</c:v>
                </c:pt>
                <c:pt idx="1">
                  <c:v>5.988123608424484</c:v>
                </c:pt>
                <c:pt idx="2">
                  <c:v>6.813653523815298</c:v>
                </c:pt>
                <c:pt idx="3">
                  <c:v>7.896944647408572</c:v>
                </c:pt>
                <c:pt idx="4">
                  <c:v>8.574892992262887</c:v>
                </c:pt>
                <c:pt idx="5">
                  <c:v>8.99815110229023</c:v>
                </c:pt>
                <c:pt idx="6">
                  <c:v>9.8325588066042</c:v>
                </c:pt>
                <c:pt idx="7">
                  <c:v>10.3341352848436</c:v>
                </c:pt>
                <c:pt idx="8">
                  <c:v>10.88687230250848</c:v>
                </c:pt>
                <c:pt idx="9">
                  <c:v>11.2709477270384</c:v>
                </c:pt>
              </c:numCache>
            </c:numRef>
          </c:yVal>
          <c:smooth val="1"/>
        </c:ser>
        <c:axId val="763955288"/>
        <c:axId val="763958440"/>
      </c:scatterChart>
      <c:valAx>
        <c:axId val="763955288"/>
        <c:scaling>
          <c:orientation val="minMax"/>
        </c:scaling>
        <c:axPos val="b"/>
        <c:numFmt formatCode="General" sourceLinked="1"/>
        <c:tickLblPos val="nextTo"/>
        <c:crossAx val="763958440"/>
        <c:crosses val="autoZero"/>
        <c:crossBetween val="midCat"/>
      </c:valAx>
      <c:valAx>
        <c:axId val="763958440"/>
        <c:scaling>
          <c:orientation val="minMax"/>
        </c:scaling>
        <c:axPos val="l"/>
        <c:majorGridlines/>
        <c:numFmt formatCode="General" sourceLinked="1"/>
        <c:tickLblPos val="nextTo"/>
        <c:crossAx val="7639552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Traction/courant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'AX-4008Q-620Kv'!$E$14:$E$23</c:f>
              <c:numCache>
                <c:formatCode>General</c:formatCode>
                <c:ptCount val="10"/>
                <c:pt idx="0">
                  <c:v>18.38629310756574</c:v>
                </c:pt>
                <c:pt idx="1">
                  <c:v>13.85358881942831</c:v>
                </c:pt>
                <c:pt idx="2">
                  <c:v>14.6639340285645</c:v>
                </c:pt>
                <c:pt idx="3">
                  <c:v>12.74304817382598</c:v>
                </c:pt>
                <c:pt idx="4">
                  <c:v>10.93340445284405</c:v>
                </c:pt>
                <c:pt idx="5">
                  <c:v>9.240347088468255</c:v>
                </c:pt>
                <c:pt idx="6">
                  <c:v>8.61288923726894</c:v>
                </c:pt>
                <c:pt idx="7">
                  <c:v>7.66966242846728</c:v>
                </c:pt>
                <c:pt idx="8">
                  <c:v>6.227631913308797</c:v>
                </c:pt>
                <c:pt idx="9">
                  <c:v>5.635636235644815</c:v>
                </c:pt>
              </c:numCache>
            </c:numRef>
          </c:xVal>
          <c:yVal>
            <c:numRef>
              <c:f>'AX-4008Q-620Kv'!$K$14:$K$23</c:f>
              <c:numCache>
                <c:formatCode>General</c:formatCode>
                <c:ptCount val="10"/>
                <c:pt idx="0">
                  <c:v>1821.389990594676</c:v>
                </c:pt>
                <c:pt idx="1">
                  <c:v>1364.921538400593</c:v>
                </c:pt>
                <c:pt idx="2">
                  <c:v>1446.527793705035</c:v>
                </c:pt>
                <c:pt idx="3">
                  <c:v>1253.0839382899</c:v>
                </c:pt>
                <c:pt idx="4">
                  <c:v>1070.842782496603</c:v>
                </c:pt>
                <c:pt idx="5">
                  <c:v>900.3425191957408</c:v>
                </c:pt>
                <c:pt idx="6">
                  <c:v>837.1540348060724</c:v>
                </c:pt>
                <c:pt idx="7">
                  <c:v>742.1658656884691</c:v>
                </c:pt>
                <c:pt idx="8">
                  <c:v>596.9453978556801</c:v>
                </c:pt>
                <c:pt idx="9">
                  <c:v>537.3281509516365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'AX-4008Q-620Kv'!$E$35:$E$43</c:f>
              <c:numCache>
                <c:formatCode>General</c:formatCode>
                <c:ptCount val="9"/>
                <c:pt idx="0">
                  <c:v>21.05740994751959</c:v>
                </c:pt>
                <c:pt idx="1">
                  <c:v>18.15898921462472</c:v>
                </c:pt>
                <c:pt idx="2">
                  <c:v>15.66259604288022</c:v>
                </c:pt>
                <c:pt idx="3">
                  <c:v>13.30686226920802</c:v>
                </c:pt>
                <c:pt idx="4">
                  <c:v>11.1011919932625</c:v>
                </c:pt>
                <c:pt idx="5">
                  <c:v>9.81359289168304</c:v>
                </c:pt>
                <c:pt idx="6">
                  <c:v>9.05608638474658</c:v>
                </c:pt>
                <c:pt idx="7">
                  <c:v>7.183331685746327</c:v>
                </c:pt>
                <c:pt idx="8">
                  <c:v>6.332563337637962</c:v>
                </c:pt>
              </c:numCache>
            </c:numRef>
          </c:xVal>
          <c:yVal>
            <c:numRef>
              <c:f>'AX-4008Q-620Kv'!$K$35:$K$43</c:f>
              <c:numCache>
                <c:formatCode>General</c:formatCode>
                <c:ptCount val="9"/>
                <c:pt idx="0">
                  <c:v>1783.060317851972</c:v>
                </c:pt>
                <c:pt idx="1">
                  <c:v>1534.08614398681</c:v>
                </c:pt>
                <c:pt idx="2">
                  <c:v>1319.646114448053</c:v>
                </c:pt>
                <c:pt idx="3">
                  <c:v>1117.288719094849</c:v>
                </c:pt>
                <c:pt idx="4">
                  <c:v>927.821769545392</c:v>
                </c:pt>
                <c:pt idx="5">
                  <c:v>817.2170809482742</c:v>
                </c:pt>
                <c:pt idx="6">
                  <c:v>752.1473156717834</c:v>
                </c:pt>
                <c:pt idx="7">
                  <c:v>591.2777949897377</c:v>
                </c:pt>
                <c:pt idx="8">
                  <c:v>518.1968429330066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'AX-4008Q-620Kv'!$E$55:$E$63</c:f>
              <c:numCache>
                <c:formatCode>General</c:formatCode>
                <c:ptCount val="9"/>
                <c:pt idx="0">
                  <c:v>21.1945565340224</c:v>
                </c:pt>
                <c:pt idx="1">
                  <c:v>18.68301767054945</c:v>
                </c:pt>
                <c:pt idx="2">
                  <c:v>16.29101622423172</c:v>
                </c:pt>
                <c:pt idx="3">
                  <c:v>14.02531453024293</c:v>
                </c:pt>
                <c:pt idx="4">
                  <c:v>11.89333762445429</c:v>
                </c:pt>
                <c:pt idx="5">
                  <c:v>10.21178103735113</c:v>
                </c:pt>
                <c:pt idx="6">
                  <c:v>8.06415785243469</c:v>
                </c:pt>
                <c:pt idx="7">
                  <c:v>7.204312304181607</c:v>
                </c:pt>
                <c:pt idx="8">
                  <c:v>6.57857516157218</c:v>
                </c:pt>
              </c:numCache>
            </c:numRef>
          </c:xVal>
          <c:yVal>
            <c:numRef>
              <c:f>'AX-4008Q-620Kv'!$K$55:$K$63</c:f>
              <c:numCache>
                <c:formatCode>General</c:formatCode>
                <c:ptCount val="9"/>
                <c:pt idx="0">
                  <c:v>1724.188032136607</c:v>
                </c:pt>
                <c:pt idx="1">
                  <c:v>1516.939544062925</c:v>
                </c:pt>
                <c:pt idx="2">
                  <c:v>1319.555107600783</c:v>
                </c:pt>
                <c:pt idx="3">
                  <c:v>1132.592740689279</c:v>
                </c:pt>
                <c:pt idx="4">
                  <c:v>956.66514635307</c:v>
                </c:pt>
                <c:pt idx="5">
                  <c:v>817.9055733454887</c:v>
                </c:pt>
                <c:pt idx="6">
                  <c:v>640.6868710991608</c:v>
                </c:pt>
                <c:pt idx="7">
                  <c:v>569.733682819237</c:v>
                </c:pt>
                <c:pt idx="8">
                  <c:v>518.098775383237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'AX-4008Q-620Kv'!$E$75:$E$80</c:f>
              <c:numCache>
                <c:formatCode>General</c:formatCode>
                <c:ptCount val="6"/>
                <c:pt idx="0">
                  <c:v>21.31265216428293</c:v>
                </c:pt>
                <c:pt idx="1">
                  <c:v>15.79931887015951</c:v>
                </c:pt>
                <c:pt idx="2">
                  <c:v>10.91370038472843</c:v>
                </c:pt>
                <c:pt idx="3">
                  <c:v>8.003202575640994</c:v>
                </c:pt>
                <c:pt idx="4">
                  <c:v>7.445845128437919</c:v>
                </c:pt>
                <c:pt idx="5">
                  <c:v>7.011470056320191</c:v>
                </c:pt>
              </c:numCache>
            </c:numRef>
          </c:xVal>
          <c:yVal>
            <c:numRef>
              <c:f>'AX-4008Q-620Kv'!$K$75:$K$80</c:f>
              <c:numCache>
                <c:formatCode>General</c:formatCode>
                <c:ptCount val="6"/>
                <c:pt idx="0">
                  <c:v>1618.849469221739</c:v>
                </c:pt>
                <c:pt idx="1">
                  <c:v>1194.093155404046</c:v>
                </c:pt>
                <c:pt idx="2">
                  <c:v>817.6970284361347</c:v>
                </c:pt>
                <c:pt idx="3">
                  <c:v>593.4674644298802</c:v>
                </c:pt>
                <c:pt idx="4">
                  <c:v>550.527725052038</c:v>
                </c:pt>
                <c:pt idx="5">
                  <c:v>517.0627512142196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'AX-4008Q-620Kv'!$E$92:$E$101</c:f>
              <c:numCache>
                <c:formatCode>General</c:formatCode>
                <c:ptCount val="10"/>
                <c:pt idx="0">
                  <c:v>20.95606542911215</c:v>
                </c:pt>
                <c:pt idx="1">
                  <c:v>18.46702430212976</c:v>
                </c:pt>
                <c:pt idx="2">
                  <c:v>14.60166191750593</c:v>
                </c:pt>
                <c:pt idx="3">
                  <c:v>11.11446526623391</c:v>
                </c:pt>
                <c:pt idx="4">
                  <c:v>9.52239814854445</c:v>
                </c:pt>
                <c:pt idx="5">
                  <c:v>8.691973087593233</c:v>
                </c:pt>
                <c:pt idx="6">
                  <c:v>7.335915571058478</c:v>
                </c:pt>
                <c:pt idx="7">
                  <c:v>6.663221054256653</c:v>
                </c:pt>
                <c:pt idx="8">
                  <c:v>6.01964435447504</c:v>
                </c:pt>
                <c:pt idx="9">
                  <c:v>5.623343193621938</c:v>
                </c:pt>
              </c:numCache>
            </c:numRef>
          </c:xVal>
          <c:yVal>
            <c:numRef>
              <c:f>'AX-4008Q-620Kv'!$K$92:$K$101</c:f>
              <c:numCache>
                <c:formatCode>General</c:formatCode>
                <c:ptCount val="10"/>
                <c:pt idx="0">
                  <c:v>2011.738203498904</c:v>
                </c:pt>
                <c:pt idx="1">
                  <c:v>1769.32518721491</c:v>
                </c:pt>
                <c:pt idx="2">
                  <c:v>1392.869312488835</c:v>
                </c:pt>
                <c:pt idx="3">
                  <c:v>1053.243803915933</c:v>
                </c:pt>
                <c:pt idx="4">
                  <c:v>898.1889966883998</c:v>
                </c:pt>
                <c:pt idx="5">
                  <c:v>817.3121314406823</c:v>
                </c:pt>
                <c:pt idx="6">
                  <c:v>685.2428019008011</c:v>
                </c:pt>
                <c:pt idx="7">
                  <c:v>619.7276502675582</c:v>
                </c:pt>
                <c:pt idx="8">
                  <c:v>557.0483448463298</c:v>
                </c:pt>
                <c:pt idx="9">
                  <c:v>518.4517307856521</c:v>
                </c:pt>
              </c:numCache>
            </c:numRef>
          </c:yVal>
          <c:smooth val="1"/>
        </c:ser>
        <c:axId val="763857256"/>
        <c:axId val="763860408"/>
      </c:scatterChart>
      <c:valAx>
        <c:axId val="763857256"/>
        <c:scaling>
          <c:orientation val="minMax"/>
        </c:scaling>
        <c:axPos val="b"/>
        <c:numFmt formatCode="General" sourceLinked="1"/>
        <c:tickLblPos val="nextTo"/>
        <c:crossAx val="763860408"/>
        <c:crosses val="autoZero"/>
        <c:crossBetween val="midCat"/>
      </c:valAx>
      <c:valAx>
        <c:axId val="763860408"/>
        <c:scaling>
          <c:orientation val="minMax"/>
        </c:scaling>
        <c:axPos val="l"/>
        <c:majorGridlines/>
        <c:numFmt formatCode="General" sourceLinked="1"/>
        <c:tickLblPos val="nextTo"/>
        <c:crossAx val="7638572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8"/>
  <c:chart>
    <c:title>
      <c:tx>
        <c:rich>
          <a:bodyPr/>
          <a:lstStyle/>
          <a:p>
            <a:pPr>
              <a:defRPr/>
            </a:pPr>
            <a:r>
              <a:rPr lang="fr-FR"/>
              <a:t>coef adapt - traction/puissance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"traction 14x4,7"</c:v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xVal>
            <c:numRef>
              <c:f>'5017-620Kv'!$S$144:$S$149</c:f>
              <c:numCache>
                <c:formatCode>General</c:formatCode>
                <c:ptCount val="6"/>
                <c:pt idx="0">
                  <c:v>39.6</c:v>
                </c:pt>
                <c:pt idx="1">
                  <c:v>62.6</c:v>
                </c:pt>
                <c:pt idx="2">
                  <c:v>107.0</c:v>
                </c:pt>
                <c:pt idx="3">
                  <c:v>130.0</c:v>
                </c:pt>
                <c:pt idx="4">
                  <c:v>249.0</c:v>
                </c:pt>
                <c:pt idx="5">
                  <c:v>319.0</c:v>
                </c:pt>
              </c:numCache>
            </c:numRef>
          </c:xVal>
          <c:yVal>
            <c:numRef>
              <c:f>'5017-620Kv'!$Q$144:$Q$149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1450.0</c:v>
                </c:pt>
                <c:pt idx="5">
                  <c:v>1870.0</c:v>
                </c:pt>
              </c:numCache>
            </c:numRef>
          </c:yVal>
          <c:smooth val="1"/>
        </c:ser>
        <c:ser>
          <c:idx val="1"/>
          <c:order val="1"/>
          <c:tx>
            <c:v>"traction calculée 14x4,7"</c:v>
          </c:tx>
          <c:spPr>
            <a:ln>
              <a:solidFill>
                <a:srgbClr val="3366FF"/>
              </a:solidFill>
            </a:ln>
          </c:spPr>
          <c:marker>
            <c:symbol val="dot"/>
            <c:size val="7"/>
          </c:marker>
          <c:xVal>
            <c:numRef>
              <c:f>'5017-620Kv'!$F$127:$F$151</c:f>
              <c:numCache>
                <c:formatCode>General</c:formatCode>
                <c:ptCount val="25"/>
                <c:pt idx="0">
                  <c:v>308.3551267985732</c:v>
                </c:pt>
                <c:pt idx="1">
                  <c:v>280.158366221019</c:v>
                </c:pt>
                <c:pt idx="2">
                  <c:v>253.6197583837603</c:v>
                </c:pt>
                <c:pt idx="3">
                  <c:v>240.9615360832674</c:v>
                </c:pt>
                <c:pt idx="4">
                  <c:v>228.7048385891807</c:v>
                </c:pt>
                <c:pt idx="5">
                  <c:v>216.8451762094546</c:v>
                </c:pt>
                <c:pt idx="6">
                  <c:v>205.3779828356367</c:v>
                </c:pt>
                <c:pt idx="7">
                  <c:v>194.2986138322134</c:v>
                </c:pt>
                <c:pt idx="8">
                  <c:v>183.6023438456442</c:v>
                </c:pt>
                <c:pt idx="9">
                  <c:v>173.2843645291691</c:v>
                </c:pt>
                <c:pt idx="10">
                  <c:v>163.339782179284</c:v>
                </c:pt>
                <c:pt idx="11">
                  <c:v>153.7636152795073</c:v>
                </c:pt>
                <c:pt idx="12">
                  <c:v>144.5507919468177</c:v>
                </c:pt>
                <c:pt idx="13">
                  <c:v>135.696147275835</c:v>
                </c:pt>
                <c:pt idx="14">
                  <c:v>127.1944205755404</c:v>
                </c:pt>
                <c:pt idx="15">
                  <c:v>119.040252493003</c:v>
                </c:pt>
                <c:pt idx="16">
                  <c:v>111.2281820182167</c:v>
                </c:pt>
                <c:pt idx="17">
                  <c:v>103.7526433637986</c:v>
                </c:pt>
                <c:pt idx="18">
                  <c:v>96.60796271289477</c:v>
                </c:pt>
                <c:pt idx="19">
                  <c:v>89.78835482819616</c:v>
                </c:pt>
                <c:pt idx="20">
                  <c:v>83.28791951452182</c:v>
                </c:pt>
                <c:pt idx="21">
                  <c:v>77.10063792691491</c:v>
                </c:pt>
                <c:pt idx="22">
                  <c:v>71.2203687156677</c:v>
                </c:pt>
                <c:pt idx="23">
                  <c:v>65.6408439990917</c:v>
                </c:pt>
                <c:pt idx="24">
                  <c:v>60.35566515426095</c:v>
                </c:pt>
              </c:numCache>
            </c:numRef>
          </c:xVal>
          <c:yVal>
            <c:numRef>
              <c:f>'5017-620Kv'!$K$127:$K$151</c:f>
              <c:numCache>
                <c:formatCode>General</c:formatCode>
                <c:ptCount val="25"/>
                <c:pt idx="0">
                  <c:v>1710.226694944534</c:v>
                </c:pt>
                <c:pt idx="1">
                  <c:v>1605.189304936054</c:v>
                </c:pt>
                <c:pt idx="2">
                  <c:v>1502.597371237528</c:v>
                </c:pt>
                <c:pt idx="3">
                  <c:v>1452.23894007484</c:v>
                </c:pt>
                <c:pt idx="4">
                  <c:v>1402.516830519062</c:v>
                </c:pt>
                <c:pt idx="5">
                  <c:v>1353.439757544044</c:v>
                </c:pt>
                <c:pt idx="6">
                  <c:v>1305.016636890695</c:v>
                </c:pt>
                <c:pt idx="7">
                  <c:v>1257.256591602376</c:v>
                </c:pt>
                <c:pt idx="8">
                  <c:v>1210.168958836382</c:v>
                </c:pt>
                <c:pt idx="9">
                  <c:v>1163.763296965929</c:v>
                </c:pt>
                <c:pt idx="10">
                  <c:v>1118.049392987904</c:v>
                </c:pt>
                <c:pt idx="11">
                  <c:v>1073.037270252643</c:v>
                </c:pt>
                <c:pt idx="12">
                  <c:v>1028.737196532986</c:v>
                </c:pt>
                <c:pt idx="13">
                  <c:v>985.1596924510206</c:v>
                </c:pt>
                <c:pt idx="14">
                  <c:v>942.3155402820888</c:v>
                </c:pt>
                <c:pt idx="15">
                  <c:v>900.2157931568544</c:v>
                </c:pt>
                <c:pt idx="16">
                  <c:v>858.8717846837267</c:v>
                </c:pt>
                <c:pt idx="17">
                  <c:v>818.2951390153011</c:v>
                </c:pt>
                <c:pt idx="18">
                  <c:v>778.497781384126</c:v>
                </c:pt>
                <c:pt idx="19">
                  <c:v>739.491949134836</c:v>
                </c:pt>
                <c:pt idx="20">
                  <c:v>701.2902032815226</c:v>
                </c:pt>
                <c:pt idx="21">
                  <c:v>663.905440621235</c:v>
                </c:pt>
                <c:pt idx="22">
                  <c:v>627.350906436666</c:v>
                </c:pt>
                <c:pt idx="23">
                  <c:v>591.6402078234652</c:v>
                </c:pt>
                <c:pt idx="24">
                  <c:v>556.7873276800691</c:v>
                </c:pt>
              </c:numCache>
            </c:numRef>
          </c:yVal>
          <c:smooth val="1"/>
        </c:ser>
        <c:axId val="780766456"/>
        <c:axId val="780769528"/>
      </c:scatterChart>
      <c:valAx>
        <c:axId val="780766456"/>
        <c:scaling>
          <c:orientation val="minMax"/>
        </c:scaling>
        <c:axPos val="b"/>
        <c:numFmt formatCode="General" sourceLinked="1"/>
        <c:tickLblPos val="nextTo"/>
        <c:crossAx val="780769528"/>
        <c:crosses val="autoZero"/>
        <c:crossBetween val="midCat"/>
      </c:valAx>
      <c:valAx>
        <c:axId val="780769528"/>
        <c:scaling>
          <c:orientation val="minMax"/>
        </c:scaling>
        <c:axPos val="l"/>
        <c:majorGridlines/>
        <c:numFmt formatCode="General" sourceLinked="1"/>
        <c:tickLblPos val="nextTo"/>
        <c:crossAx val="7807664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rendement Turnigy 2810Q-750Kv/traction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'AX-4008Q-620Kv'!$K$14:$K$23</c:f>
              <c:numCache>
                <c:formatCode>General</c:formatCode>
                <c:ptCount val="10"/>
                <c:pt idx="0">
                  <c:v>1821.389990594676</c:v>
                </c:pt>
                <c:pt idx="1">
                  <c:v>1364.921538400593</c:v>
                </c:pt>
                <c:pt idx="2">
                  <c:v>1446.527793705035</c:v>
                </c:pt>
                <c:pt idx="3">
                  <c:v>1253.0839382899</c:v>
                </c:pt>
                <c:pt idx="4">
                  <c:v>1070.842782496603</c:v>
                </c:pt>
                <c:pt idx="5">
                  <c:v>900.3425191957408</c:v>
                </c:pt>
                <c:pt idx="6">
                  <c:v>837.1540348060724</c:v>
                </c:pt>
                <c:pt idx="7">
                  <c:v>742.1658656884691</c:v>
                </c:pt>
                <c:pt idx="8">
                  <c:v>596.9453978556801</c:v>
                </c:pt>
                <c:pt idx="9">
                  <c:v>537.3281509516365</c:v>
                </c:pt>
              </c:numCache>
            </c:numRef>
          </c:xVal>
          <c:yVal>
            <c:numRef>
              <c:f>'AX-4008Q-620Kv'!$H$14:$H$23</c:f>
              <c:numCache>
                <c:formatCode>General</c:formatCode>
                <c:ptCount val="10"/>
                <c:pt idx="0">
                  <c:v>84.92583458864488</c:v>
                </c:pt>
                <c:pt idx="1">
                  <c:v>85.98789487212672</c:v>
                </c:pt>
                <c:pt idx="2">
                  <c:v>85.80006625796865</c:v>
                </c:pt>
                <c:pt idx="3">
                  <c:v>86.23964771034083</c:v>
                </c:pt>
                <c:pt idx="4">
                  <c:v>86.6227109566434</c:v>
                </c:pt>
                <c:pt idx="5">
                  <c:v>86.91898691137342</c:v>
                </c:pt>
                <c:pt idx="6">
                  <c:v>87.00157443468106</c:v>
                </c:pt>
                <c:pt idx="7">
                  <c:v>87.08111976191577</c:v>
                </c:pt>
                <c:pt idx="8">
                  <c:v>87.0322657270879</c:v>
                </c:pt>
                <c:pt idx="9">
                  <c:v>86.91324048345225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'AX-4008Q-620Kv'!$K$35:$K$43</c:f>
              <c:numCache>
                <c:formatCode>General</c:formatCode>
                <c:ptCount val="9"/>
                <c:pt idx="0">
                  <c:v>1783.060317851972</c:v>
                </c:pt>
                <c:pt idx="1">
                  <c:v>1534.08614398681</c:v>
                </c:pt>
                <c:pt idx="2">
                  <c:v>1319.646114448053</c:v>
                </c:pt>
                <c:pt idx="3">
                  <c:v>1117.288719094849</c:v>
                </c:pt>
                <c:pt idx="4">
                  <c:v>927.821769545392</c:v>
                </c:pt>
                <c:pt idx="5">
                  <c:v>817.2170809482742</c:v>
                </c:pt>
                <c:pt idx="6">
                  <c:v>752.1473156717834</c:v>
                </c:pt>
                <c:pt idx="7">
                  <c:v>591.2777949897377</c:v>
                </c:pt>
                <c:pt idx="8">
                  <c:v>518.1968429330066</c:v>
                </c:pt>
              </c:numCache>
            </c:numRef>
          </c:xVal>
          <c:yVal>
            <c:numRef>
              <c:f>'AX-4008Q-620Kv'!$H$35:$H$43</c:f>
              <c:numCache>
                <c:formatCode>General</c:formatCode>
                <c:ptCount val="9"/>
                <c:pt idx="0">
                  <c:v>81.14543714695387</c:v>
                </c:pt>
                <c:pt idx="1">
                  <c:v>81.97718555330243</c:v>
                </c:pt>
                <c:pt idx="2">
                  <c:v>82.7220126696303</c:v>
                </c:pt>
                <c:pt idx="3">
                  <c:v>83.43797562570568</c:v>
                </c:pt>
                <c:pt idx="4">
                  <c:v>84.09613062002075</c:v>
                </c:pt>
                <c:pt idx="5">
                  <c:v>84.45500587614782</c:v>
                </c:pt>
                <c:pt idx="6">
                  <c:v>84.64769197249964</c:v>
                </c:pt>
                <c:pt idx="7">
                  <c:v>85.00700085777561</c:v>
                </c:pt>
                <c:pt idx="8">
                  <c:v>85.06931054301256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'AX-4008Q-620Kv'!$K$55:$K$63</c:f>
              <c:numCache>
                <c:formatCode>General</c:formatCode>
                <c:ptCount val="9"/>
                <c:pt idx="0">
                  <c:v>1724.188032136607</c:v>
                </c:pt>
                <c:pt idx="1">
                  <c:v>1516.939544062925</c:v>
                </c:pt>
                <c:pt idx="2">
                  <c:v>1319.555107600783</c:v>
                </c:pt>
                <c:pt idx="3">
                  <c:v>1132.592740689279</c:v>
                </c:pt>
                <c:pt idx="4">
                  <c:v>956.66514635307</c:v>
                </c:pt>
                <c:pt idx="5">
                  <c:v>817.9055733454887</c:v>
                </c:pt>
                <c:pt idx="6">
                  <c:v>640.6868710991608</c:v>
                </c:pt>
                <c:pt idx="7">
                  <c:v>569.733682819237</c:v>
                </c:pt>
                <c:pt idx="8">
                  <c:v>518.098775383237</c:v>
                </c:pt>
              </c:numCache>
            </c:numRef>
          </c:xVal>
          <c:yVal>
            <c:numRef>
              <c:f>'AX-4008Q-620Kv'!$H$55:$H$63</c:f>
              <c:numCache>
                <c:formatCode>General</c:formatCode>
                <c:ptCount val="9"/>
                <c:pt idx="0">
                  <c:v>82.16739065471026</c:v>
                </c:pt>
                <c:pt idx="1">
                  <c:v>82.83940257633444</c:v>
                </c:pt>
                <c:pt idx="2">
                  <c:v>83.50006271420644</c:v>
                </c:pt>
                <c:pt idx="3">
                  <c:v>84.1356960064327</c:v>
                </c:pt>
                <c:pt idx="4">
                  <c:v>84.72490799852728</c:v>
                </c:pt>
                <c:pt idx="5">
                  <c:v>85.1594228577577</c:v>
                </c:pt>
                <c:pt idx="6">
                  <c:v>85.6041176797309</c:v>
                </c:pt>
                <c:pt idx="7">
                  <c:v>85.70950267316925</c:v>
                </c:pt>
                <c:pt idx="8">
                  <c:v>85.73969610570517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'AX-4008Q-620Kv'!$K$75:$K$80</c:f>
              <c:numCache>
                <c:formatCode>General</c:formatCode>
                <c:ptCount val="6"/>
                <c:pt idx="0">
                  <c:v>1618.849469221739</c:v>
                </c:pt>
                <c:pt idx="1">
                  <c:v>1194.093155404046</c:v>
                </c:pt>
                <c:pt idx="2">
                  <c:v>817.6970284361347</c:v>
                </c:pt>
                <c:pt idx="3">
                  <c:v>593.4674644298802</c:v>
                </c:pt>
                <c:pt idx="4">
                  <c:v>550.527725052038</c:v>
                </c:pt>
                <c:pt idx="5">
                  <c:v>517.0627512142196</c:v>
                </c:pt>
              </c:numCache>
            </c:numRef>
          </c:xVal>
          <c:yVal>
            <c:numRef>
              <c:f>'AX-4008Q-620Kv'!$H$75:$H$80</c:f>
              <c:numCache>
                <c:formatCode>General</c:formatCode>
                <c:ptCount val="6"/>
                <c:pt idx="0">
                  <c:v>77.1906100639665</c:v>
                </c:pt>
                <c:pt idx="1">
                  <c:v>79.15757201338899</c:v>
                </c:pt>
                <c:pt idx="2">
                  <c:v>81.05827601214435</c:v>
                </c:pt>
                <c:pt idx="3">
                  <c:v>82.12896255126412</c:v>
                </c:pt>
                <c:pt idx="4">
                  <c:v>82.30059491426698</c:v>
                </c:pt>
                <c:pt idx="5">
                  <c:v>82.4192839854357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'AX-4008Q-620Kv'!$K$92:$K$101</c:f>
              <c:numCache>
                <c:formatCode>General</c:formatCode>
                <c:ptCount val="10"/>
                <c:pt idx="0">
                  <c:v>2011.738203498904</c:v>
                </c:pt>
                <c:pt idx="1">
                  <c:v>1769.32518721491</c:v>
                </c:pt>
                <c:pt idx="2">
                  <c:v>1392.869312488835</c:v>
                </c:pt>
                <c:pt idx="3">
                  <c:v>1053.243803915933</c:v>
                </c:pt>
                <c:pt idx="4">
                  <c:v>898.1889966883998</c:v>
                </c:pt>
                <c:pt idx="5">
                  <c:v>817.3121314406823</c:v>
                </c:pt>
                <c:pt idx="6">
                  <c:v>685.2428019008011</c:v>
                </c:pt>
                <c:pt idx="7">
                  <c:v>619.7276502675582</c:v>
                </c:pt>
                <c:pt idx="8">
                  <c:v>557.0483448463298</c:v>
                </c:pt>
                <c:pt idx="9">
                  <c:v>518.4517307856521</c:v>
                </c:pt>
              </c:numCache>
            </c:numRef>
          </c:xVal>
          <c:yVal>
            <c:numRef>
              <c:f>'AX-4008Q-620Kv'!$H$92:$H$101</c:f>
              <c:numCache>
                <c:formatCode>General</c:formatCode>
                <c:ptCount val="10"/>
                <c:pt idx="0">
                  <c:v>85.35815915683821</c:v>
                </c:pt>
                <c:pt idx="1">
                  <c:v>85.88565351710464</c:v>
                </c:pt>
                <c:pt idx="2">
                  <c:v>86.70841927198094</c:v>
                </c:pt>
                <c:pt idx="3">
                  <c:v>87.3875549863427</c:v>
                </c:pt>
                <c:pt idx="4">
                  <c:v>87.62713496989738</c:v>
                </c:pt>
                <c:pt idx="5">
                  <c:v>87.71488382298199</c:v>
                </c:pt>
                <c:pt idx="6">
                  <c:v>87.76368129795628</c:v>
                </c:pt>
                <c:pt idx="7">
                  <c:v>87.72040283151206</c:v>
                </c:pt>
                <c:pt idx="8">
                  <c:v>87.6144241789632</c:v>
                </c:pt>
                <c:pt idx="9">
                  <c:v>87.50656533896034</c:v>
                </c:pt>
              </c:numCache>
            </c:numRef>
          </c:yVal>
          <c:smooth val="1"/>
        </c:ser>
        <c:axId val="763834824"/>
        <c:axId val="763837976"/>
      </c:scatterChart>
      <c:valAx>
        <c:axId val="763834824"/>
        <c:scaling>
          <c:orientation val="minMax"/>
        </c:scaling>
        <c:axPos val="b"/>
        <c:numFmt formatCode="General" sourceLinked="1"/>
        <c:tickLblPos val="nextTo"/>
        <c:crossAx val="763837976"/>
        <c:crosses val="autoZero"/>
        <c:crossBetween val="midCat"/>
      </c:valAx>
      <c:valAx>
        <c:axId val="763837976"/>
        <c:scaling>
          <c:orientation val="minMax"/>
        </c:scaling>
        <c:axPos val="l"/>
        <c:majorGridlines/>
        <c:numFmt formatCode="General" sourceLinked="1"/>
        <c:tickLblPos val="nextTo"/>
        <c:crossAx val="76383482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temps de vol à 65% des 5Ah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'AX-4008Q-620Kv'!$K$14:$K$23</c:f>
              <c:numCache>
                <c:formatCode>General</c:formatCode>
                <c:ptCount val="10"/>
                <c:pt idx="0">
                  <c:v>1821.389990594676</c:v>
                </c:pt>
                <c:pt idx="1">
                  <c:v>1364.921538400593</c:v>
                </c:pt>
                <c:pt idx="2">
                  <c:v>1446.527793705035</c:v>
                </c:pt>
                <c:pt idx="3">
                  <c:v>1253.0839382899</c:v>
                </c:pt>
                <c:pt idx="4">
                  <c:v>1070.842782496603</c:v>
                </c:pt>
                <c:pt idx="5">
                  <c:v>900.3425191957408</c:v>
                </c:pt>
                <c:pt idx="6">
                  <c:v>837.1540348060724</c:v>
                </c:pt>
                <c:pt idx="7">
                  <c:v>742.1658656884691</c:v>
                </c:pt>
                <c:pt idx="8">
                  <c:v>596.9453978556801</c:v>
                </c:pt>
                <c:pt idx="9">
                  <c:v>537.3281509516365</c:v>
                </c:pt>
              </c:numCache>
            </c:numRef>
          </c:xVal>
          <c:yVal>
            <c:numRef>
              <c:f>'AX-4008Q-620Kv'!$O$14:$O$23</c:f>
              <c:numCache>
                <c:formatCode>General</c:formatCode>
                <c:ptCount val="10"/>
                <c:pt idx="0">
                  <c:v>3.181718014488084</c:v>
                </c:pt>
                <c:pt idx="1">
                  <c:v>4.222732518086537</c:v>
                </c:pt>
                <c:pt idx="2">
                  <c:v>3.989379649829668</c:v>
                </c:pt>
                <c:pt idx="3">
                  <c:v>4.590738354121432</c:v>
                </c:pt>
                <c:pt idx="4">
                  <c:v>5.350574951499457</c:v>
                </c:pt>
                <c:pt idx="5">
                  <c:v>6.330931018057393</c:v>
                </c:pt>
                <c:pt idx="6">
                  <c:v>6.79214586283821</c:v>
                </c:pt>
                <c:pt idx="7">
                  <c:v>7.627454343083879</c:v>
                </c:pt>
                <c:pt idx="8">
                  <c:v>9.393618764619379</c:v>
                </c:pt>
                <c:pt idx="9">
                  <c:v>10.38037189660922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'AX-4008Q-620Kv'!$K$35:$K$43</c:f>
              <c:numCache>
                <c:formatCode>General</c:formatCode>
                <c:ptCount val="9"/>
                <c:pt idx="0">
                  <c:v>1783.060317851972</c:v>
                </c:pt>
                <c:pt idx="1">
                  <c:v>1534.08614398681</c:v>
                </c:pt>
                <c:pt idx="2">
                  <c:v>1319.646114448053</c:v>
                </c:pt>
                <c:pt idx="3">
                  <c:v>1117.288719094849</c:v>
                </c:pt>
                <c:pt idx="4">
                  <c:v>927.821769545392</c:v>
                </c:pt>
                <c:pt idx="5">
                  <c:v>817.2170809482742</c:v>
                </c:pt>
                <c:pt idx="6">
                  <c:v>752.1473156717834</c:v>
                </c:pt>
                <c:pt idx="7">
                  <c:v>591.2777949897377</c:v>
                </c:pt>
                <c:pt idx="8">
                  <c:v>518.1968429330066</c:v>
                </c:pt>
              </c:numCache>
            </c:numRef>
          </c:xVal>
          <c:yVal>
            <c:numRef>
              <c:f>'AX-4008Q-620Kv'!$O$35:$O$43</c:f>
              <c:numCache>
                <c:formatCode>General</c:formatCode>
                <c:ptCount val="9"/>
                <c:pt idx="0">
                  <c:v>2.778119443264715</c:v>
                </c:pt>
                <c:pt idx="1">
                  <c:v>3.221544949918567</c:v>
                </c:pt>
                <c:pt idx="2">
                  <c:v>3.735013010604487</c:v>
                </c:pt>
                <c:pt idx="3">
                  <c:v>4.39622796242271</c:v>
                </c:pt>
                <c:pt idx="4">
                  <c:v>5.269704373683892</c:v>
                </c:pt>
                <c:pt idx="5">
                  <c:v>5.961119504924477</c:v>
                </c:pt>
                <c:pt idx="6">
                  <c:v>6.459744034523918</c:v>
                </c:pt>
                <c:pt idx="7">
                  <c:v>8.143853376014896</c:v>
                </c:pt>
                <c:pt idx="8">
                  <c:v>9.23796524107415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'AX-4008Q-620Kv'!$K$55:$K$63</c:f>
              <c:numCache>
                <c:formatCode>General</c:formatCode>
                <c:ptCount val="9"/>
                <c:pt idx="0">
                  <c:v>1724.188032136607</c:v>
                </c:pt>
                <c:pt idx="1">
                  <c:v>1516.939544062925</c:v>
                </c:pt>
                <c:pt idx="2">
                  <c:v>1319.555107600783</c:v>
                </c:pt>
                <c:pt idx="3">
                  <c:v>1132.592740689279</c:v>
                </c:pt>
                <c:pt idx="4">
                  <c:v>956.66514635307</c:v>
                </c:pt>
                <c:pt idx="5">
                  <c:v>817.9055733454887</c:v>
                </c:pt>
                <c:pt idx="6">
                  <c:v>640.6868710991608</c:v>
                </c:pt>
                <c:pt idx="7">
                  <c:v>569.733682819237</c:v>
                </c:pt>
                <c:pt idx="8">
                  <c:v>518.098775383237</c:v>
                </c:pt>
              </c:numCache>
            </c:numRef>
          </c:xVal>
          <c:yVal>
            <c:numRef>
              <c:f>'AX-4008Q-620Kv'!$O$55:$O$63</c:f>
              <c:numCache>
                <c:formatCode>General</c:formatCode>
                <c:ptCount val="9"/>
                <c:pt idx="0">
                  <c:v>2.760142676544957</c:v>
                </c:pt>
                <c:pt idx="1">
                  <c:v>3.131185819741269</c:v>
                </c:pt>
                <c:pt idx="2">
                  <c:v>3.590936206483267</c:v>
                </c:pt>
                <c:pt idx="3">
                  <c:v>4.171029453482546</c:v>
                </c:pt>
                <c:pt idx="4">
                  <c:v>4.91872019841732</c:v>
                </c:pt>
                <c:pt idx="5">
                  <c:v>5.728677474186671</c:v>
                </c:pt>
                <c:pt idx="6">
                  <c:v>7.254322282684231</c:v>
                </c:pt>
                <c:pt idx="7">
                  <c:v>8.120136597360552</c:v>
                </c:pt>
                <c:pt idx="8">
                  <c:v>8.892503097284578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'AX-4008Q-620Kv'!$K$75:$K$80</c:f>
              <c:numCache>
                <c:formatCode>General</c:formatCode>
                <c:ptCount val="6"/>
                <c:pt idx="0">
                  <c:v>1618.849469221739</c:v>
                </c:pt>
                <c:pt idx="1">
                  <c:v>1194.093155404046</c:v>
                </c:pt>
                <c:pt idx="2">
                  <c:v>817.6970284361347</c:v>
                </c:pt>
                <c:pt idx="3">
                  <c:v>593.4674644298802</c:v>
                </c:pt>
                <c:pt idx="4">
                  <c:v>550.527725052038</c:v>
                </c:pt>
                <c:pt idx="5">
                  <c:v>517.0627512142196</c:v>
                </c:pt>
              </c:numCache>
            </c:numRef>
          </c:xVal>
          <c:yVal>
            <c:numRef>
              <c:f>'AX-4008Q-620Kv'!$O$75:$O$80</c:f>
              <c:numCache>
                <c:formatCode>General</c:formatCode>
                <c:ptCount val="6"/>
                <c:pt idx="0">
                  <c:v>2.744848437870063</c:v>
                </c:pt>
                <c:pt idx="1">
                  <c:v>3.702691266677965</c:v>
                </c:pt>
                <c:pt idx="2">
                  <c:v>5.360235111627143</c:v>
                </c:pt>
                <c:pt idx="3">
                  <c:v>7.309573817118406</c:v>
                </c:pt>
                <c:pt idx="4">
                  <c:v>7.856730698919714</c:v>
                </c:pt>
                <c:pt idx="5">
                  <c:v>8.343471416135859</c:v>
                </c:pt>
              </c:numCache>
            </c:numRef>
          </c:yVal>
          <c:smooth val="1"/>
        </c:ser>
        <c:ser>
          <c:idx val="4"/>
          <c:order val="4"/>
          <c:tx>
            <c:v>12x4,5</c:v>
          </c:tx>
          <c:xVal>
            <c:numRef>
              <c:f>'AX-4008Q-620Kv'!$K$92:$K$101</c:f>
              <c:numCache>
                <c:formatCode>General</c:formatCode>
                <c:ptCount val="10"/>
                <c:pt idx="0">
                  <c:v>2011.738203498904</c:v>
                </c:pt>
                <c:pt idx="1">
                  <c:v>1769.32518721491</c:v>
                </c:pt>
                <c:pt idx="2">
                  <c:v>1392.869312488835</c:v>
                </c:pt>
                <c:pt idx="3">
                  <c:v>1053.243803915933</c:v>
                </c:pt>
                <c:pt idx="4">
                  <c:v>898.1889966883998</c:v>
                </c:pt>
                <c:pt idx="5">
                  <c:v>817.3121314406823</c:v>
                </c:pt>
                <c:pt idx="6">
                  <c:v>685.2428019008011</c:v>
                </c:pt>
                <c:pt idx="7">
                  <c:v>619.7276502675582</c:v>
                </c:pt>
                <c:pt idx="8">
                  <c:v>557.0483448463298</c:v>
                </c:pt>
                <c:pt idx="9">
                  <c:v>518.4517307856521</c:v>
                </c:pt>
              </c:numCache>
            </c:numRef>
          </c:xVal>
          <c:yVal>
            <c:numRef>
              <c:f>'AX-4008Q-620Kv'!$O$92:$O$101</c:f>
              <c:numCache>
                <c:formatCode>General</c:formatCode>
                <c:ptCount val="10"/>
                <c:pt idx="0">
                  <c:v>2.791554559604105</c:v>
                </c:pt>
                <c:pt idx="1">
                  <c:v>3.167808686603252</c:v>
                </c:pt>
                <c:pt idx="2">
                  <c:v>4.006393267458438</c:v>
                </c:pt>
                <c:pt idx="3">
                  <c:v>5.263411113238602</c:v>
                </c:pt>
                <c:pt idx="4">
                  <c:v>6.143410419038406</c:v>
                </c:pt>
                <c:pt idx="5">
                  <c:v>6.730347575914823</c:v>
                </c:pt>
                <c:pt idx="6">
                  <c:v>7.974464732226902</c:v>
                </c:pt>
                <c:pt idx="7">
                  <c:v>8.779537632573145</c:v>
                </c:pt>
                <c:pt idx="8">
                  <c:v>9.718182097670063</c:v>
                </c:pt>
                <c:pt idx="9">
                  <c:v>10.40306415342947</c:v>
                </c:pt>
              </c:numCache>
            </c:numRef>
          </c:yVal>
          <c:smooth val="1"/>
        </c:ser>
        <c:axId val="763781640"/>
        <c:axId val="763784792"/>
      </c:scatterChart>
      <c:valAx>
        <c:axId val="763781640"/>
        <c:scaling>
          <c:orientation val="minMax"/>
        </c:scaling>
        <c:axPos val="b"/>
        <c:numFmt formatCode="General" sourceLinked="1"/>
        <c:tickLblPos val="nextTo"/>
        <c:crossAx val="763784792"/>
        <c:crosses val="autoZero"/>
        <c:crossBetween val="midCat"/>
      </c:valAx>
      <c:valAx>
        <c:axId val="763784792"/>
        <c:scaling>
          <c:orientation val="minMax"/>
        </c:scaling>
        <c:axPos val="l"/>
        <c:majorGridlines/>
        <c:numFmt formatCode="General" sourceLinked="1"/>
        <c:tickLblPos val="nextTo"/>
        <c:crossAx val="7637816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8"/>
  <c:chart>
    <c:title>
      <c:tx>
        <c:rich>
          <a:bodyPr/>
          <a:lstStyle/>
          <a:p>
            <a:pPr>
              <a:defRPr/>
            </a:pPr>
            <a:r>
              <a:rPr lang="fr-FR"/>
              <a:t>temps de vol/traction 13x4 carbon RCTimer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5017-620KV</c:v>
          </c:tx>
          <c:marker>
            <c:symbol val="square"/>
            <c:size val="7"/>
          </c:marker>
          <c:xVal>
            <c:numRef>
              <c:f>'13x4'!$K$15:$K$18</c:f>
              <c:numCache>
                <c:formatCode>General</c:formatCode>
                <c:ptCount val="4"/>
                <c:pt idx="0">
                  <c:v>1805.863802420961</c:v>
                </c:pt>
                <c:pt idx="1">
                  <c:v>1424.893863556602</c:v>
                </c:pt>
                <c:pt idx="2">
                  <c:v>874.1839915770267</c:v>
                </c:pt>
                <c:pt idx="3">
                  <c:v>574.1402315634145</c:v>
                </c:pt>
              </c:numCache>
            </c:numRef>
          </c:xVal>
          <c:yVal>
            <c:numRef>
              <c:f>'13x4'!$O$15:$O$18</c:f>
              <c:numCache>
                <c:formatCode>General</c:formatCode>
                <c:ptCount val="4"/>
                <c:pt idx="0">
                  <c:v>3.041786504289343</c:v>
                </c:pt>
                <c:pt idx="1">
                  <c:v>3.786625797524506</c:v>
                </c:pt>
                <c:pt idx="2">
                  <c:v>5.86137430055315</c:v>
                </c:pt>
                <c:pt idx="3">
                  <c:v>8.355736726268368</c:v>
                </c:pt>
              </c:numCache>
            </c:numRef>
          </c:yVal>
          <c:smooth val="1"/>
        </c:ser>
        <c:ser>
          <c:idx val="1"/>
          <c:order val="1"/>
          <c:tx>
            <c:v>"AX2810Q-750KV"</c:v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'13x4'!$K$29:$K$32</c:f>
              <c:numCache>
                <c:formatCode>General</c:formatCode>
                <c:ptCount val="4"/>
                <c:pt idx="0">
                  <c:v>1831.903617556772</c:v>
                </c:pt>
                <c:pt idx="1">
                  <c:v>1431.735164347313</c:v>
                </c:pt>
                <c:pt idx="2">
                  <c:v>939.7659208544264</c:v>
                </c:pt>
                <c:pt idx="3">
                  <c:v>639.7766206764476</c:v>
                </c:pt>
              </c:numCache>
            </c:numRef>
          </c:xVal>
          <c:yVal>
            <c:numRef>
              <c:f>'13x4'!$O$29:$O$32</c:f>
              <c:numCache>
                <c:formatCode>General</c:formatCode>
                <c:ptCount val="4"/>
                <c:pt idx="0">
                  <c:v>6.638787000423534</c:v>
                </c:pt>
                <c:pt idx="1">
                  <c:v>8.374784764078146</c:v>
                </c:pt>
                <c:pt idx="2">
                  <c:v>12.34274467598235</c:v>
                </c:pt>
                <c:pt idx="3">
                  <c:v>17.35748147982545</c:v>
                </c:pt>
              </c:numCache>
            </c:numRef>
          </c:yVal>
          <c:smooth val="1"/>
        </c:ser>
        <c:ser>
          <c:idx val="2"/>
          <c:order val="2"/>
          <c:tx>
            <c:v>3508-380KV</c:v>
          </c:tx>
          <c:spPr>
            <a:ln>
              <a:solidFill>
                <a:srgbClr val="FF6600"/>
              </a:solidFill>
            </a:ln>
          </c:spPr>
          <c:marker>
            <c:symbol val="squar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xVal>
            <c:numRef>
              <c:f>'13x4'!$K$42:$K$45</c:f>
              <c:numCache>
                <c:formatCode>General</c:formatCode>
                <c:ptCount val="4"/>
                <c:pt idx="0">
                  <c:v>1459.712104130349</c:v>
                </c:pt>
                <c:pt idx="1">
                  <c:v>1459.712104130349</c:v>
                </c:pt>
                <c:pt idx="2">
                  <c:v>971.7077458428039</c:v>
                </c:pt>
                <c:pt idx="3">
                  <c:v>671.9065547456228</c:v>
                </c:pt>
              </c:numCache>
            </c:numRef>
          </c:xVal>
          <c:yVal>
            <c:numRef>
              <c:f>'13x4'!$O$42:$O$45</c:f>
              <c:numCache>
                <c:formatCode>General</c:formatCode>
                <c:ptCount val="4"/>
                <c:pt idx="0">
                  <c:v>8.49308459784782</c:v>
                </c:pt>
                <c:pt idx="1">
                  <c:v>8.49308459784782</c:v>
                </c:pt>
                <c:pt idx="2">
                  <c:v>12.55249736312547</c:v>
                </c:pt>
                <c:pt idx="3">
                  <c:v>17.77054711034925</c:v>
                </c:pt>
              </c:numCache>
            </c:numRef>
          </c:yVal>
          <c:smooth val="1"/>
        </c:ser>
        <c:ser>
          <c:idx val="3"/>
          <c:order val="3"/>
          <c:tx>
            <c:v>4225-390KV</c:v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'13x4'!$K$55:$K$58</c:f>
              <c:numCache>
                <c:formatCode>General</c:formatCode>
                <c:ptCount val="4"/>
                <c:pt idx="0">
                  <c:v>1588.602306758993</c:v>
                </c:pt>
                <c:pt idx="1">
                  <c:v>1557.931649163514</c:v>
                </c:pt>
                <c:pt idx="2">
                  <c:v>955.1834231501026</c:v>
                </c:pt>
                <c:pt idx="3">
                  <c:v>655.8173780836047</c:v>
                </c:pt>
              </c:numCache>
            </c:numRef>
          </c:xVal>
          <c:yVal>
            <c:numRef>
              <c:f>'13x4'!$O$55:$O$58</c:f>
              <c:numCache>
                <c:formatCode>General</c:formatCode>
                <c:ptCount val="4"/>
                <c:pt idx="0">
                  <c:v>7.70536947908905</c:v>
                </c:pt>
                <c:pt idx="1">
                  <c:v>7.854008507308281</c:v>
                </c:pt>
                <c:pt idx="2">
                  <c:v>12.64936620814056</c:v>
                </c:pt>
                <c:pt idx="3">
                  <c:v>18.15473021792744</c:v>
                </c:pt>
              </c:numCache>
            </c:numRef>
          </c:yVal>
          <c:smooth val="1"/>
        </c:ser>
        <c:ser>
          <c:idx val="4"/>
          <c:order val="4"/>
          <c:tx>
            <c:v>4010-375KV</c:v>
          </c:tx>
          <c:spPr>
            <a:ln>
              <a:solidFill>
                <a:srgbClr val="008000"/>
              </a:solidFill>
            </a:ln>
          </c:spPr>
          <c:marker>
            <c:symbol val="squar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xVal>
            <c:numRef>
              <c:f>'13x4'!$K$68:$K$71</c:f>
              <c:numCache>
                <c:formatCode>General</c:formatCode>
                <c:ptCount val="4"/>
                <c:pt idx="0">
                  <c:v>1750.57421560128</c:v>
                </c:pt>
                <c:pt idx="1">
                  <c:v>1626.110019714668</c:v>
                </c:pt>
                <c:pt idx="2">
                  <c:v>997.8604291963586</c:v>
                </c:pt>
                <c:pt idx="3">
                  <c:v>697.0273494570492</c:v>
                </c:pt>
              </c:numCache>
            </c:numRef>
          </c:xVal>
          <c:yVal>
            <c:numRef>
              <c:f>'13x4'!$O$68:$O$71</c:f>
              <c:numCache>
                <c:formatCode>General</c:formatCode>
                <c:ptCount val="4"/>
                <c:pt idx="0">
                  <c:v>7.018194351334651</c:v>
                </c:pt>
                <c:pt idx="1">
                  <c:v>7.524282935529674</c:v>
                </c:pt>
                <c:pt idx="2">
                  <c:v>11.83043934142034</c:v>
                </c:pt>
                <c:pt idx="3">
                  <c:v>16.29632691736121</c:v>
                </c:pt>
              </c:numCache>
            </c:numRef>
          </c:yVal>
          <c:smooth val="1"/>
        </c:ser>
        <c:ser>
          <c:idx val="5"/>
          <c:order val="5"/>
          <c:tx>
            <c:v>4230-400KV</c:v>
          </c:tx>
          <c:spPr>
            <a:ln>
              <a:solidFill>
                <a:srgbClr val="3366FF"/>
              </a:solidFill>
            </a:ln>
          </c:spPr>
          <c:marker>
            <c:symbol val="triang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xVal>
            <c:numRef>
              <c:f>'13x4'!$K$81:$K$84</c:f>
              <c:numCache>
                <c:formatCode>General</c:formatCode>
                <c:ptCount val="4"/>
                <c:pt idx="0">
                  <c:v>1743.255343224791</c:v>
                </c:pt>
                <c:pt idx="1">
                  <c:v>1642.937705486937</c:v>
                </c:pt>
                <c:pt idx="2">
                  <c:v>1007.167690783231</c:v>
                </c:pt>
                <c:pt idx="3">
                  <c:v>707.9537008492396</c:v>
                </c:pt>
              </c:numCache>
            </c:numRef>
          </c:xVal>
          <c:yVal>
            <c:numRef>
              <c:f>'13x4'!$O$81:$O$84</c:f>
              <c:numCache>
                <c:formatCode>General</c:formatCode>
                <c:ptCount val="4"/>
                <c:pt idx="0">
                  <c:v>6.628136577213304</c:v>
                </c:pt>
                <c:pt idx="1">
                  <c:v>7.011023456363973</c:v>
                </c:pt>
                <c:pt idx="2">
                  <c:v>11.06017128178937</c:v>
                </c:pt>
                <c:pt idx="3">
                  <c:v>15.18856110849683</c:v>
                </c:pt>
              </c:numCache>
            </c:numRef>
          </c:yVal>
          <c:smooth val="1"/>
        </c:ser>
        <c:ser>
          <c:idx val="6"/>
          <c:order val="6"/>
          <c:tx>
            <c:v>4822-390KV</c:v>
          </c:tx>
          <c:spPr>
            <a:ln>
              <a:solidFill>
                <a:srgbClr val="660066"/>
              </a:solidFill>
            </a:ln>
          </c:spPr>
          <c:marker>
            <c:symbol val="square"/>
            <c:size val="7"/>
            <c:spPr>
              <a:solidFill>
                <a:srgbClr val="660066"/>
              </a:solidFill>
              <a:ln>
                <a:solidFill>
                  <a:srgbClr val="660066"/>
                </a:solidFill>
              </a:ln>
            </c:spPr>
          </c:marker>
          <c:xVal>
            <c:numRef>
              <c:f>'13x4'!$K$94:$K$97</c:f>
              <c:numCache>
                <c:formatCode>General</c:formatCode>
                <c:ptCount val="4"/>
                <c:pt idx="0">
                  <c:v>1532.171984866145</c:v>
                </c:pt>
                <c:pt idx="1">
                  <c:v>1532.171984866145</c:v>
                </c:pt>
                <c:pt idx="2">
                  <c:v>967.560614928605</c:v>
                </c:pt>
                <c:pt idx="3">
                  <c:v>667.6710159377535</c:v>
                </c:pt>
              </c:numCache>
            </c:numRef>
          </c:xVal>
          <c:yVal>
            <c:numRef>
              <c:f>'13x4'!$O$94:$O$97</c:f>
              <c:numCache>
                <c:formatCode>General</c:formatCode>
                <c:ptCount val="4"/>
                <c:pt idx="0">
                  <c:v>7.942704102080535</c:v>
                </c:pt>
                <c:pt idx="1">
                  <c:v>7.942704102080535</c:v>
                </c:pt>
                <c:pt idx="2">
                  <c:v>12.39348767398525</c:v>
                </c:pt>
                <c:pt idx="3">
                  <c:v>17.64529526569337</c:v>
                </c:pt>
              </c:numCache>
            </c:numRef>
          </c:yVal>
          <c:smooth val="1"/>
        </c:ser>
        <c:ser>
          <c:idx val="7"/>
          <c:order val="7"/>
          <c:tx>
            <c:v>4010-485KV</c:v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xVal>
            <c:numRef>
              <c:f>'13x4'!$K$107:$K$110</c:f>
              <c:numCache>
                <c:formatCode>General</c:formatCode>
                <c:ptCount val="4"/>
                <c:pt idx="0">
                  <c:v>1958.721023022467</c:v>
                </c:pt>
                <c:pt idx="1">
                  <c:v>1487.253204049257</c:v>
                </c:pt>
                <c:pt idx="2">
                  <c:v>912.2276703621638</c:v>
                </c:pt>
                <c:pt idx="3">
                  <c:v>612.5547604060425</c:v>
                </c:pt>
              </c:numCache>
            </c:numRef>
          </c:xVal>
          <c:yVal>
            <c:numRef>
              <c:f>'13x4'!$O$107:$O$110</c:f>
              <c:numCache>
                <c:formatCode>General</c:formatCode>
                <c:ptCount val="4"/>
                <c:pt idx="0">
                  <c:v>4.870462775233146</c:v>
                </c:pt>
                <c:pt idx="1">
                  <c:v>6.314435025396874</c:v>
                </c:pt>
                <c:pt idx="2">
                  <c:v>9.890971320725631</c:v>
                </c:pt>
                <c:pt idx="3">
                  <c:v>14.03335070870024</c:v>
                </c:pt>
              </c:numCache>
            </c:numRef>
          </c:yVal>
          <c:smooth val="1"/>
        </c:ser>
        <c:ser>
          <c:idx val="8"/>
          <c:order val="8"/>
          <c:tx>
            <c:v>AX-4008Q-620KV</c:v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'13x4'!$K$120:$K$123</c:f>
              <c:numCache>
                <c:formatCode>General</c:formatCode>
                <c:ptCount val="4"/>
                <c:pt idx="0">
                  <c:v>1821.389990594676</c:v>
                </c:pt>
                <c:pt idx="1">
                  <c:v>1364.921538400593</c:v>
                </c:pt>
                <c:pt idx="2">
                  <c:v>837.1540348060724</c:v>
                </c:pt>
                <c:pt idx="3">
                  <c:v>537.3281509516365</c:v>
                </c:pt>
              </c:numCache>
            </c:numRef>
          </c:xVal>
          <c:yVal>
            <c:numRef>
              <c:f>'13x4'!$O$120:$O$123</c:f>
              <c:numCache>
                <c:formatCode>General</c:formatCode>
                <c:ptCount val="4"/>
                <c:pt idx="0">
                  <c:v>3.181718014488084</c:v>
                </c:pt>
                <c:pt idx="1">
                  <c:v>4.222732518086537</c:v>
                </c:pt>
                <c:pt idx="2">
                  <c:v>6.79214586283821</c:v>
                </c:pt>
                <c:pt idx="3">
                  <c:v>10.38037189660922</c:v>
                </c:pt>
              </c:numCache>
            </c:numRef>
          </c:yVal>
          <c:smooth val="1"/>
        </c:ser>
        <c:axId val="763529784"/>
        <c:axId val="763532536"/>
      </c:scatterChart>
      <c:valAx>
        <c:axId val="763529784"/>
        <c:scaling>
          <c:orientation val="minMax"/>
        </c:scaling>
        <c:axPos val="b"/>
        <c:numFmt formatCode="General" sourceLinked="1"/>
        <c:tickLblPos val="nextTo"/>
        <c:crossAx val="763532536"/>
        <c:crosses val="autoZero"/>
        <c:crossBetween val="midCat"/>
      </c:valAx>
      <c:valAx>
        <c:axId val="763532536"/>
        <c:scaling>
          <c:orientation val="minMax"/>
        </c:scaling>
        <c:axPos val="l"/>
        <c:majorGridlines/>
        <c:numFmt formatCode="General" sourceLinked="1"/>
        <c:tickLblPos val="nextTo"/>
        <c:crossAx val="7635297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8"/>
  <c:chart>
    <c:title>
      <c:tx>
        <c:rich>
          <a:bodyPr/>
          <a:lstStyle/>
          <a:p>
            <a:pPr>
              <a:defRPr/>
            </a:pPr>
            <a:r>
              <a:rPr lang="fr-FR"/>
              <a:t>efficacité (grs/Watt)/traction 13x4 carbon RCTimer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5017-620KV</c:v>
          </c:tx>
          <c:marker>
            <c:symbol val="square"/>
            <c:size val="7"/>
          </c:marker>
          <c:xVal>
            <c:numRef>
              <c:f>'13x4'!$K$15:$K$18</c:f>
              <c:numCache>
                <c:formatCode>General</c:formatCode>
                <c:ptCount val="4"/>
                <c:pt idx="0">
                  <c:v>1805.863802420961</c:v>
                </c:pt>
                <c:pt idx="1">
                  <c:v>1424.893863556602</c:v>
                </c:pt>
                <c:pt idx="2">
                  <c:v>874.1839915770267</c:v>
                </c:pt>
                <c:pt idx="3">
                  <c:v>574.1402315634145</c:v>
                </c:pt>
              </c:numCache>
            </c:numRef>
          </c:xVal>
          <c:yVal>
            <c:numRef>
              <c:f>'13x4'!$L$15:$L$18</c:f>
              <c:numCache>
                <c:formatCode>General</c:formatCode>
                <c:ptCount val="4"/>
                <c:pt idx="0">
                  <c:v>6.344481569402535</c:v>
                </c:pt>
                <c:pt idx="1">
                  <c:v>7.111137289178567</c:v>
                </c:pt>
                <c:pt idx="2">
                  <c:v>8.82058095933854</c:v>
                </c:pt>
                <c:pt idx="3">
                  <c:v>10.34126517046087</c:v>
                </c:pt>
              </c:numCache>
            </c:numRef>
          </c:yVal>
          <c:smooth val="1"/>
        </c:ser>
        <c:ser>
          <c:idx val="1"/>
          <c:order val="1"/>
          <c:tx>
            <c:v>"AX2810Q-750KV"</c:v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'13x4'!$K$29:$K$32</c:f>
              <c:numCache>
                <c:formatCode>General</c:formatCode>
                <c:ptCount val="4"/>
                <c:pt idx="0">
                  <c:v>1831.903617556772</c:v>
                </c:pt>
                <c:pt idx="1">
                  <c:v>1431.735164347313</c:v>
                </c:pt>
                <c:pt idx="2">
                  <c:v>939.7659208544264</c:v>
                </c:pt>
                <c:pt idx="3">
                  <c:v>639.7766206764476</c:v>
                </c:pt>
              </c:numCache>
            </c:numRef>
          </c:xVal>
          <c:yVal>
            <c:numRef>
              <c:f>'13x4'!$L$29:$L$32</c:f>
              <c:numCache>
                <c:formatCode>General</c:formatCode>
                <c:ptCount val="4"/>
                <c:pt idx="0">
                  <c:v>7.023341373449263</c:v>
                </c:pt>
                <c:pt idx="1">
                  <c:v>7.880050420189747</c:v>
                </c:pt>
                <c:pt idx="2">
                  <c:v>9.490035521325754</c:v>
                </c:pt>
                <c:pt idx="3">
                  <c:v>11.0794281598491</c:v>
                </c:pt>
              </c:numCache>
            </c:numRef>
          </c:yVal>
          <c:smooth val="1"/>
        </c:ser>
        <c:ser>
          <c:idx val="2"/>
          <c:order val="2"/>
          <c:tx>
            <c:v>3508-380KV</c:v>
          </c:tx>
          <c:spPr>
            <a:ln>
              <a:solidFill>
                <a:srgbClr val="FF6600"/>
              </a:solidFill>
            </a:ln>
          </c:spPr>
          <c:marker>
            <c:symbol val="squar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xVal>
            <c:numRef>
              <c:f>'13x4'!$K$42:$K$45</c:f>
              <c:numCache>
                <c:formatCode>General</c:formatCode>
                <c:ptCount val="4"/>
                <c:pt idx="0">
                  <c:v>1459.712104130349</c:v>
                </c:pt>
                <c:pt idx="1">
                  <c:v>1459.712104130349</c:v>
                </c:pt>
                <c:pt idx="2">
                  <c:v>971.7077458428039</c:v>
                </c:pt>
                <c:pt idx="3">
                  <c:v>671.9065547456228</c:v>
                </c:pt>
              </c:numCache>
            </c:numRef>
          </c:xVal>
          <c:yVal>
            <c:numRef>
              <c:f>'13x4'!$L$42:$L$45</c:f>
              <c:numCache>
                <c:formatCode>General</c:formatCode>
                <c:ptCount val="4"/>
                <c:pt idx="0">
                  <c:v>7.753257278850221</c:v>
                </c:pt>
                <c:pt idx="1">
                  <c:v>7.753257278850221</c:v>
                </c:pt>
                <c:pt idx="2">
                  <c:v>9.494620302196992</c:v>
                </c:pt>
                <c:pt idx="3">
                  <c:v>11.30567273118542</c:v>
                </c:pt>
              </c:numCache>
            </c:numRef>
          </c:yVal>
          <c:smooth val="1"/>
        </c:ser>
        <c:ser>
          <c:idx val="3"/>
          <c:order val="3"/>
          <c:tx>
            <c:v>4225-390KV</c:v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'13x4'!$K$55:$K$58</c:f>
              <c:numCache>
                <c:formatCode>General</c:formatCode>
                <c:ptCount val="4"/>
                <c:pt idx="0">
                  <c:v>1588.602306758993</c:v>
                </c:pt>
                <c:pt idx="1">
                  <c:v>1557.931649163514</c:v>
                </c:pt>
                <c:pt idx="2">
                  <c:v>955.1834231501026</c:v>
                </c:pt>
                <c:pt idx="3">
                  <c:v>655.8173780836047</c:v>
                </c:pt>
              </c:numCache>
            </c:numRef>
          </c:xVal>
          <c:yVal>
            <c:numRef>
              <c:f>'13x4'!$L$55:$L$58</c:f>
              <c:numCache>
                <c:formatCode>General</c:formatCode>
                <c:ptCount val="4"/>
                <c:pt idx="0">
                  <c:v>7.333314000066621</c:v>
                </c:pt>
                <c:pt idx="1">
                  <c:v>7.410104057710511</c:v>
                </c:pt>
                <c:pt idx="2">
                  <c:v>9.56784412297155</c:v>
                </c:pt>
                <c:pt idx="3">
                  <c:v>11.54640169453466</c:v>
                </c:pt>
              </c:numCache>
            </c:numRef>
          </c:yVal>
          <c:smooth val="1"/>
        </c:ser>
        <c:ser>
          <c:idx val="4"/>
          <c:order val="4"/>
          <c:tx>
            <c:v>4010-375KV</c:v>
          </c:tx>
          <c:spPr>
            <a:ln>
              <a:solidFill>
                <a:srgbClr val="008000"/>
              </a:solidFill>
            </a:ln>
          </c:spPr>
          <c:marker>
            <c:symbol val="squar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xVal>
            <c:numRef>
              <c:f>'13x4'!$K$68:$K$71</c:f>
              <c:numCache>
                <c:formatCode>General</c:formatCode>
                <c:ptCount val="4"/>
                <c:pt idx="0">
                  <c:v>1750.57421560128</c:v>
                </c:pt>
                <c:pt idx="1">
                  <c:v>1626.110019714668</c:v>
                </c:pt>
                <c:pt idx="2">
                  <c:v>997.8604291963586</c:v>
                </c:pt>
                <c:pt idx="3">
                  <c:v>697.0273494570492</c:v>
                </c:pt>
              </c:numCache>
            </c:numRef>
          </c:xVal>
          <c:yVal>
            <c:numRef>
              <c:f>'13x4'!$L$68:$L$71</c:f>
              <c:numCache>
                <c:formatCode>General</c:formatCode>
                <c:ptCount val="4"/>
                <c:pt idx="0">
                  <c:v>7.095097061402745</c:v>
                </c:pt>
                <c:pt idx="1">
                  <c:v>7.347211837286315</c:v>
                </c:pt>
                <c:pt idx="2">
                  <c:v>9.161488234006323</c:v>
                </c:pt>
                <c:pt idx="3">
                  <c:v>10.62202917306649</c:v>
                </c:pt>
              </c:numCache>
            </c:numRef>
          </c:yVal>
          <c:smooth val="1"/>
        </c:ser>
        <c:ser>
          <c:idx val="5"/>
          <c:order val="5"/>
          <c:tx>
            <c:v>4230-400KV</c:v>
          </c:tx>
          <c:spPr>
            <a:ln>
              <a:solidFill>
                <a:srgbClr val="3366FF"/>
              </a:solidFill>
            </a:ln>
          </c:spPr>
          <c:marker>
            <c:symbol val="triang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xVal>
            <c:numRef>
              <c:f>'13x4'!$K$81:$K$84</c:f>
              <c:numCache>
                <c:formatCode>General</c:formatCode>
                <c:ptCount val="4"/>
                <c:pt idx="0">
                  <c:v>1743.255343224791</c:v>
                </c:pt>
                <c:pt idx="1">
                  <c:v>1642.937705486937</c:v>
                </c:pt>
                <c:pt idx="2">
                  <c:v>1007.167690783231</c:v>
                </c:pt>
                <c:pt idx="3">
                  <c:v>707.9537008492396</c:v>
                </c:pt>
              </c:numCache>
            </c:numRef>
          </c:xVal>
          <c:yVal>
            <c:numRef>
              <c:f>'13x4'!$L$81:$L$84</c:f>
              <c:numCache>
                <c:formatCode>General</c:formatCode>
                <c:ptCount val="4"/>
                <c:pt idx="0">
                  <c:v>6.672750348724168</c:v>
                </c:pt>
                <c:pt idx="1">
                  <c:v>6.875014796419877</c:v>
                </c:pt>
                <c:pt idx="2">
                  <c:v>8.697528943398296</c:v>
                </c:pt>
                <c:pt idx="3">
                  <c:v>10.15142748322869</c:v>
                </c:pt>
              </c:numCache>
            </c:numRef>
          </c:yVal>
          <c:smooth val="1"/>
        </c:ser>
        <c:ser>
          <c:idx val="6"/>
          <c:order val="6"/>
          <c:tx>
            <c:v>4822-390KV</c:v>
          </c:tx>
          <c:spPr>
            <a:ln>
              <a:solidFill>
                <a:srgbClr val="660066"/>
              </a:solidFill>
            </a:ln>
          </c:spPr>
          <c:marker>
            <c:symbol val="square"/>
            <c:size val="7"/>
            <c:spPr>
              <a:solidFill>
                <a:srgbClr val="660066"/>
              </a:solidFill>
              <a:ln>
                <a:solidFill>
                  <a:srgbClr val="660066"/>
                </a:solidFill>
              </a:ln>
            </c:spPr>
          </c:marker>
          <c:xVal>
            <c:numRef>
              <c:f>'13x4'!$K$94:$K$97</c:f>
              <c:numCache>
                <c:formatCode>General</c:formatCode>
                <c:ptCount val="4"/>
                <c:pt idx="0">
                  <c:v>1532.171984866145</c:v>
                </c:pt>
                <c:pt idx="1">
                  <c:v>1532.171984866145</c:v>
                </c:pt>
                <c:pt idx="2">
                  <c:v>967.560614928605</c:v>
                </c:pt>
                <c:pt idx="3">
                  <c:v>667.6710159377535</c:v>
                </c:pt>
              </c:numCache>
            </c:numRef>
          </c:xVal>
          <c:yVal>
            <c:numRef>
              <c:f>'13x4'!$L$94:$L$97</c:f>
              <c:numCache>
                <c:formatCode>General</c:formatCode>
                <c:ptCount val="4"/>
                <c:pt idx="0">
                  <c:v>7.685732417133514</c:v>
                </c:pt>
                <c:pt idx="1">
                  <c:v>7.685732417133514</c:v>
                </c:pt>
                <c:pt idx="2">
                  <c:v>9.68419184732587</c:v>
                </c:pt>
                <c:pt idx="3">
                  <c:v>11.57407625166237</c:v>
                </c:pt>
              </c:numCache>
            </c:numRef>
          </c:yVal>
          <c:smooth val="1"/>
        </c:ser>
        <c:ser>
          <c:idx val="7"/>
          <c:order val="7"/>
          <c:tx>
            <c:v>4010-485KV</c:v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xVal>
            <c:numRef>
              <c:f>'13x4'!$K$107:$K$110</c:f>
              <c:numCache>
                <c:formatCode>General</c:formatCode>
                <c:ptCount val="4"/>
                <c:pt idx="0">
                  <c:v>1958.721023022467</c:v>
                </c:pt>
                <c:pt idx="1">
                  <c:v>1487.253204049257</c:v>
                </c:pt>
                <c:pt idx="2">
                  <c:v>912.2276703621638</c:v>
                </c:pt>
                <c:pt idx="3">
                  <c:v>612.5547604060425</c:v>
                </c:pt>
              </c:numCache>
            </c:numRef>
          </c:xVal>
          <c:yVal>
            <c:numRef>
              <c:f>'13x4'!$L$107:$L$110</c:f>
              <c:numCache>
                <c:formatCode>General</c:formatCode>
                <c:ptCount val="4"/>
                <c:pt idx="0">
                  <c:v>6.683394864577211</c:v>
                </c:pt>
                <c:pt idx="1">
                  <c:v>7.615403852870102</c:v>
                </c:pt>
                <c:pt idx="2">
                  <c:v>9.458475088081554</c:v>
                </c:pt>
                <c:pt idx="3">
                  <c:v>11.08171324472011</c:v>
                </c:pt>
              </c:numCache>
            </c:numRef>
          </c:yVal>
          <c:smooth val="1"/>
        </c:ser>
        <c:ser>
          <c:idx val="8"/>
          <c:order val="8"/>
          <c:tx>
            <c:v>AX-4008Q-620KV</c:v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'13x4'!$K$120:$K$123</c:f>
              <c:numCache>
                <c:formatCode>General</c:formatCode>
                <c:ptCount val="4"/>
                <c:pt idx="0">
                  <c:v>1821.389990594676</c:v>
                </c:pt>
                <c:pt idx="1">
                  <c:v>1364.921538400593</c:v>
                </c:pt>
                <c:pt idx="2">
                  <c:v>837.1540348060724</c:v>
                </c:pt>
                <c:pt idx="3">
                  <c:v>537.3281509516365</c:v>
                </c:pt>
              </c:numCache>
            </c:numRef>
          </c:xVal>
          <c:yVal>
            <c:numRef>
              <c:f>'13x4'!$L$120:$L$123</c:f>
              <c:numCache>
                <c:formatCode>General</c:formatCode>
                <c:ptCount val="4"/>
                <c:pt idx="0">
                  <c:v>6.693404186282471</c:v>
                </c:pt>
                <c:pt idx="1">
                  <c:v>7.828745474147946</c:v>
                </c:pt>
                <c:pt idx="2">
                  <c:v>10.11423697549095</c:v>
                </c:pt>
                <c:pt idx="3">
                  <c:v>12.611735262957</c:v>
                </c:pt>
              </c:numCache>
            </c:numRef>
          </c:yVal>
          <c:smooth val="1"/>
        </c:ser>
        <c:axId val="763459112"/>
        <c:axId val="763461864"/>
      </c:scatterChart>
      <c:valAx>
        <c:axId val="763459112"/>
        <c:scaling>
          <c:orientation val="minMax"/>
        </c:scaling>
        <c:axPos val="b"/>
        <c:numFmt formatCode="General" sourceLinked="1"/>
        <c:tickLblPos val="nextTo"/>
        <c:crossAx val="763461864"/>
        <c:crosses val="autoZero"/>
        <c:crossBetween val="midCat"/>
      </c:valAx>
      <c:valAx>
        <c:axId val="763461864"/>
        <c:scaling>
          <c:orientation val="minMax"/>
        </c:scaling>
        <c:axPos val="l"/>
        <c:majorGridlines/>
        <c:numFmt formatCode="General" sourceLinked="1"/>
        <c:tickLblPos val="nextTo"/>
        <c:crossAx val="7634591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Turnigy Multistar 4225-390Kv Temps/traction 13x4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2650mAh</c:v>
          </c:tx>
          <c:xVal>
            <c:numRef>
              <c:f>'temps vol'!$B$38:$B$41</c:f>
              <c:numCache>
                <c:formatCode>General</c:formatCode>
                <c:ptCount val="4"/>
                <c:pt idx="0">
                  <c:v>1588.602306758993</c:v>
                </c:pt>
                <c:pt idx="1">
                  <c:v>1259.777953829316</c:v>
                </c:pt>
                <c:pt idx="2">
                  <c:v>772.0158234567107</c:v>
                </c:pt>
                <c:pt idx="3">
                  <c:v>472.3128514967159</c:v>
                </c:pt>
              </c:numCache>
            </c:numRef>
          </c:xVal>
          <c:yVal>
            <c:numRef>
              <c:f>'temps vol'!$D$38:$D$41</c:f>
              <c:numCache>
                <c:formatCode>General</c:formatCode>
                <c:ptCount val="4"/>
                <c:pt idx="0">
                  <c:v>2.552403639948248</c:v>
                </c:pt>
                <c:pt idx="1">
                  <c:v>3.202112825087012</c:v>
                </c:pt>
                <c:pt idx="2">
                  <c:v>5.144651806918187</c:v>
                </c:pt>
                <c:pt idx="3">
                  <c:v>8.201898388198789</c:v>
                </c:pt>
              </c:numCache>
            </c:numRef>
          </c:yVal>
          <c:smooth val="1"/>
        </c:ser>
        <c:ser>
          <c:idx val="1"/>
          <c:order val="1"/>
          <c:tx>
            <c:v>3300mAh</c:v>
          </c:tx>
          <c:xVal>
            <c:numRef>
              <c:f>'temps vol'!$B$46:$B$49</c:f>
              <c:numCache>
                <c:formatCode>General</c:formatCode>
                <c:ptCount val="4"/>
                <c:pt idx="0">
                  <c:v>1588.602306758993</c:v>
                </c:pt>
                <c:pt idx="1">
                  <c:v>1305.20650226978</c:v>
                </c:pt>
                <c:pt idx="2">
                  <c:v>800.0501628532074</c:v>
                </c:pt>
                <c:pt idx="3">
                  <c:v>500.793273662896</c:v>
                </c:pt>
              </c:numCache>
            </c:numRef>
          </c:xVal>
          <c:yVal>
            <c:numRef>
              <c:f>'temps vol'!$D$46:$D$49</c:f>
              <c:numCache>
                <c:formatCode>General</c:formatCode>
                <c:ptCount val="4"/>
                <c:pt idx="0">
                  <c:v>3.178464910124233</c:v>
                </c:pt>
                <c:pt idx="1">
                  <c:v>3.852071182876625</c:v>
                </c:pt>
                <c:pt idx="2">
                  <c:v>6.190696143575306</c:v>
                </c:pt>
                <c:pt idx="3">
                  <c:v>9.667732748410774</c:v>
                </c:pt>
              </c:numCache>
            </c:numRef>
          </c:yVal>
          <c:smooth val="1"/>
        </c:ser>
        <c:ser>
          <c:idx val="2"/>
          <c:order val="2"/>
          <c:tx>
            <c:v>6000mAh</c:v>
          </c:tx>
          <c:xVal>
            <c:numRef>
              <c:f>'temps vol'!$B$54:$B$57</c:f>
              <c:numCache>
                <c:formatCode>General</c:formatCode>
                <c:ptCount val="4"/>
                <c:pt idx="0">
                  <c:v>1588.602306758993</c:v>
                </c:pt>
                <c:pt idx="1">
                  <c:v>1475.153460425635</c:v>
                </c:pt>
                <c:pt idx="2">
                  <c:v>905.7294086761264</c:v>
                </c:pt>
                <c:pt idx="3">
                  <c:v>605.7108089776427</c:v>
                </c:pt>
              </c:numCache>
            </c:numRef>
          </c:xVal>
          <c:yVal>
            <c:numRef>
              <c:f>'temps vol'!$D$54:$D$57</c:f>
              <c:numCache>
                <c:formatCode>General</c:formatCode>
                <c:ptCount val="4"/>
                <c:pt idx="0">
                  <c:v>5.779027109316787</c:v>
                </c:pt>
                <c:pt idx="1">
                  <c:v>6.214029664943221</c:v>
                </c:pt>
                <c:pt idx="2">
                  <c:v>9.987341533120874</c:v>
                </c:pt>
                <c:pt idx="3">
                  <c:v>14.6858631417928</c:v>
                </c:pt>
              </c:numCache>
            </c:numRef>
          </c:yVal>
          <c:smooth val="1"/>
        </c:ser>
        <c:ser>
          <c:idx val="3"/>
          <c:order val="3"/>
          <c:tx>
            <c:v>8000mAh</c:v>
          </c:tx>
          <c:xVal>
            <c:numRef>
              <c:f>'temps vol'!$B$62:$B$65</c:f>
              <c:numCache>
                <c:formatCode>General</c:formatCode>
                <c:ptCount val="4"/>
                <c:pt idx="0">
                  <c:v>1588.602306758993</c:v>
                </c:pt>
                <c:pt idx="1">
                  <c:v>1588.602306758993</c:v>
                </c:pt>
                <c:pt idx="2">
                  <c:v>987.4759775125493</c:v>
                </c:pt>
                <c:pt idx="3">
                  <c:v>687.6469799759957</c:v>
                </c:pt>
              </c:numCache>
            </c:numRef>
          </c:xVal>
          <c:yVal>
            <c:numRef>
              <c:f>'temps vol'!$D$62:$D$65</c:f>
              <c:numCache>
                <c:formatCode>General</c:formatCode>
                <c:ptCount val="4"/>
                <c:pt idx="0">
                  <c:v>7.70536947908905</c:v>
                </c:pt>
                <c:pt idx="1">
                  <c:v>7.70536947908905</c:v>
                </c:pt>
                <c:pt idx="2">
                  <c:v>12.24869697942244</c:v>
                </c:pt>
                <c:pt idx="3">
                  <c:v>17.35177760956719</c:v>
                </c:pt>
              </c:numCache>
            </c:numRef>
          </c:yVal>
          <c:smooth val="1"/>
        </c:ser>
        <c:ser>
          <c:idx val="4"/>
          <c:order val="4"/>
          <c:tx>
            <c:v>8000mAh Hexa</c:v>
          </c:tx>
          <c:spPr>
            <a:ln w="25400" cmpd="sng">
              <a:solidFill>
                <a:srgbClr val="FF0000"/>
              </a:solidFill>
            </a:ln>
          </c:spPr>
          <c:marker>
            <c:symbol val="square"/>
            <c:size val="9"/>
            <c:spPr>
              <a:solidFill>
                <a:srgbClr val="FF0000"/>
              </a:solidFill>
            </c:spPr>
          </c:marker>
          <c:xVal>
            <c:numRef>
              <c:f>'temps vol'!$B$88:$B$91</c:f>
              <c:numCache>
                <c:formatCode>General</c:formatCode>
                <c:ptCount val="4"/>
                <c:pt idx="0">
                  <c:v>1588.602306758993</c:v>
                </c:pt>
                <c:pt idx="1">
                  <c:v>1188.705363563928</c:v>
                </c:pt>
                <c:pt idx="2">
                  <c:v>729.7949900135934</c:v>
                </c:pt>
                <c:pt idx="3">
                  <c:v>529.1572632270586</c:v>
                </c:pt>
              </c:numCache>
            </c:numRef>
          </c:xVal>
          <c:yVal>
            <c:numRef>
              <c:f>'temps vol'!$D$88:$D$91</c:f>
              <c:numCache>
                <c:formatCode>General</c:formatCode>
                <c:ptCount val="4"/>
                <c:pt idx="0">
                  <c:v>5.136912986059367</c:v>
                </c:pt>
                <c:pt idx="1">
                  <c:v>6.81971340158329</c:v>
                </c:pt>
                <c:pt idx="2">
                  <c:v>10.92785062333028</c:v>
                </c:pt>
                <c:pt idx="3">
                  <c:v>14.83489102248983</c:v>
                </c:pt>
              </c:numCache>
            </c:numRef>
          </c:yVal>
          <c:smooth val="1"/>
        </c:ser>
        <c:axId val="763408152"/>
        <c:axId val="763413032"/>
      </c:scatterChart>
      <c:valAx>
        <c:axId val="763408152"/>
        <c:scaling>
          <c:orientation val="minMax"/>
        </c:scaling>
        <c:axPos val="b"/>
        <c:numFmt formatCode="General" sourceLinked="1"/>
        <c:tickLblPos val="nextTo"/>
        <c:crossAx val="763413032"/>
        <c:crosses val="autoZero"/>
        <c:crossBetween val="midCat"/>
      </c:valAx>
      <c:valAx>
        <c:axId val="763413032"/>
        <c:scaling>
          <c:orientation val="minMax"/>
        </c:scaling>
        <c:axPos val="l"/>
        <c:majorGridlines/>
        <c:numFmt formatCode="General" sourceLinked="1"/>
        <c:tickLblPos val="nextTo"/>
        <c:crossAx val="7634081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Turnigy Multistar 4225-390Kv Temps/traction 13x4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2650mAh</c:v>
          </c:tx>
          <c:xVal>
            <c:numRef>
              <c:f>'poids_temps de vol'!$AD$52:$AD$55</c:f>
              <c:numCache>
                <c:formatCode>General</c:formatCode>
                <c:ptCount val="4"/>
                <c:pt idx="0">
                  <c:v>1588.602306759022</c:v>
                </c:pt>
                <c:pt idx="1">
                  <c:v>1022.451152445264</c:v>
                </c:pt>
                <c:pt idx="2">
                  <c:v>626.4552446433067</c:v>
                </c:pt>
                <c:pt idx="3">
                  <c:v>330.7557559412268</c:v>
                </c:pt>
              </c:numCache>
            </c:numRef>
          </c:xVal>
          <c:yVal>
            <c:numRef>
              <c:f>'poids_temps de vol'!$AF$52:$AF$55</c:f>
              <c:numCache>
                <c:formatCode>General</c:formatCode>
                <c:ptCount val="4"/>
                <c:pt idx="0">
                  <c:v>2.552403639948213</c:v>
                </c:pt>
                <c:pt idx="1">
                  <c:v>3.922803732743016</c:v>
                </c:pt>
                <c:pt idx="2">
                  <c:v>6.281914615523344</c:v>
                </c:pt>
                <c:pt idx="3">
                  <c:v>11.40233132626425</c:v>
                </c:pt>
              </c:numCache>
            </c:numRef>
          </c:yVal>
          <c:smooth val="1"/>
        </c:ser>
        <c:ser>
          <c:idx val="1"/>
          <c:order val="1"/>
          <c:tx>
            <c:v>3300mAh</c:v>
          </c:tx>
          <c:xVal>
            <c:numRef>
              <c:f>'poids_temps de vol'!$U$52:$U$55</c:f>
              <c:numCache>
                <c:formatCode>General</c:formatCode>
                <c:ptCount val="4"/>
                <c:pt idx="0">
                  <c:v>1588.602306759022</c:v>
                </c:pt>
                <c:pt idx="1">
                  <c:v>1067.591520274896</c:v>
                </c:pt>
                <c:pt idx="2">
                  <c:v>653.965277645433</c:v>
                </c:pt>
                <c:pt idx="3">
                  <c:v>358.6900189091617</c:v>
                </c:pt>
              </c:numCache>
            </c:numRef>
          </c:xVal>
          <c:yVal>
            <c:numRef>
              <c:f>'poids_temps de vol'!$W$52:$W$55</c:f>
              <c:numCache>
                <c:formatCode>General</c:formatCode>
                <c:ptCount val="4"/>
                <c:pt idx="0">
                  <c:v>3.178464910124189</c:v>
                </c:pt>
                <c:pt idx="1">
                  <c:v>4.684465601177864</c:v>
                </c:pt>
                <c:pt idx="2">
                  <c:v>7.509045416338564</c:v>
                </c:pt>
                <c:pt idx="3">
                  <c:v>13.18394436511063</c:v>
                </c:pt>
              </c:numCache>
            </c:numRef>
          </c:yVal>
          <c:smooth val="1"/>
        </c:ser>
        <c:ser>
          <c:idx val="2"/>
          <c:order val="2"/>
          <c:tx>
            <c:v>6000mAh</c:v>
          </c:tx>
          <c:xVal>
            <c:numRef>
              <c:f>'poids_temps de vol'!$L$52:$L$55</c:f>
              <c:numCache>
                <c:formatCode>General</c:formatCode>
                <c:ptCount val="4"/>
                <c:pt idx="0">
                  <c:v>1588.602306759022</c:v>
                </c:pt>
                <c:pt idx="1">
                  <c:v>1243.972869844445</c:v>
                </c:pt>
                <c:pt idx="2">
                  <c:v>759.144697146737</c:v>
                </c:pt>
                <c:pt idx="3">
                  <c:v>464.3104204673153</c:v>
                </c:pt>
              </c:numCache>
            </c:numRef>
          </c:xVal>
          <c:yVal>
            <c:numRef>
              <c:f>'poids_temps de vol'!$N$52:$N$55</c:f>
              <c:numCache>
                <c:formatCode>General</c:formatCode>
                <c:ptCount val="4"/>
                <c:pt idx="0">
                  <c:v>5.779027109316706</c:v>
                </c:pt>
                <c:pt idx="1">
                  <c:v>7.339869772626607</c:v>
                </c:pt>
                <c:pt idx="2">
                  <c:v>11.83776921985012</c:v>
                </c:pt>
                <c:pt idx="3">
                  <c:v>18.86974956272966</c:v>
                </c:pt>
              </c:numCache>
            </c:numRef>
          </c:yVal>
          <c:smooth val="1"/>
        </c:ser>
        <c:ser>
          <c:idx val="3"/>
          <c:order val="3"/>
          <c:tx>
            <c:v>8000mAh</c:v>
          </c:tx>
          <c:xVal>
            <c:numRef>
              <c:f>'poids_temps de vol'!$C$52:$C$55</c:f>
              <c:numCache>
                <c:formatCode>General</c:formatCode>
                <c:ptCount val="4"/>
                <c:pt idx="0">
                  <c:v>1588.602306759022</c:v>
                </c:pt>
                <c:pt idx="1">
                  <c:v>1317.596907715303</c:v>
                </c:pt>
                <c:pt idx="2">
                  <c:v>809.151245594163</c:v>
                </c:pt>
                <c:pt idx="3">
                  <c:v>513.2225186663397</c:v>
                </c:pt>
              </c:numCache>
            </c:numRef>
          </c:xVal>
          <c:yVal>
            <c:numRef>
              <c:f>'poids_temps de vol'!$E$52:$E$55</c:f>
              <c:numCache>
                <c:formatCode>General</c:formatCode>
                <c:ptCount val="4"/>
                <c:pt idx="0">
                  <c:v>7.705369479088943</c:v>
                </c:pt>
                <c:pt idx="1">
                  <c:v>9.25262185742441</c:v>
                </c:pt>
                <c:pt idx="2">
                  <c:v>14.84537119696465</c:v>
                </c:pt>
                <c:pt idx="3">
                  <c:v>22.90266332873847</c:v>
                </c:pt>
              </c:numCache>
            </c:numRef>
          </c:yVal>
          <c:smooth val="1"/>
        </c:ser>
        <c:ser>
          <c:idx val="4"/>
          <c:order val="4"/>
          <c:tx>
            <c:v>8000mAh Hexa</c:v>
          </c:tx>
          <c:spPr>
            <a:ln w="25400" cmpd="sng">
              <a:solidFill>
                <a:srgbClr val="FF0000"/>
              </a:solidFill>
            </a:ln>
          </c:spPr>
          <c:marker>
            <c:symbol val="square"/>
            <c:size val="9"/>
            <c:spPr>
              <a:solidFill>
                <a:srgbClr val="FF0000"/>
              </a:solidFill>
            </c:spPr>
          </c:marker>
          <c:xVal>
            <c:numRef>
              <c:f>'poids_temps de vol'!$AE$22:$AE$25</c:f>
              <c:numCache>
                <c:formatCode>General</c:formatCode>
                <c:ptCount val="4"/>
                <c:pt idx="0">
                  <c:v>1588.602306759022</c:v>
                </c:pt>
                <c:pt idx="1">
                  <c:v>1588.602306759022</c:v>
                </c:pt>
                <c:pt idx="2">
                  <c:v>978.1253487951613</c:v>
                </c:pt>
                <c:pt idx="3">
                  <c:v>672.5875857895569</c:v>
                </c:pt>
              </c:numCache>
            </c:numRef>
          </c:xVal>
          <c:yVal>
            <c:numRef>
              <c:f>'poids_temps de vol'!$AG$22:$AG$25</c:f>
              <c:numCache>
                <c:formatCode>General</c:formatCode>
                <c:ptCount val="4"/>
                <c:pt idx="0">
                  <c:v>5.136912986059295</c:v>
                </c:pt>
                <c:pt idx="1">
                  <c:v>5.136912986059295</c:v>
                </c:pt>
                <c:pt idx="2">
                  <c:v>8.24138651996401</c:v>
                </c:pt>
                <c:pt idx="3">
                  <c:v>11.81508869949984</c:v>
                </c:pt>
              </c:numCache>
            </c:numRef>
          </c:yVal>
          <c:smooth val="1"/>
        </c:ser>
        <c:ser>
          <c:idx val="5"/>
          <c:order val="5"/>
          <c:tx>
            <c:v>10000 mAh</c:v>
          </c:tx>
          <c:xVal>
            <c:numRef>
              <c:f>'poids_temps de vol'!$X$76:$X$79</c:f>
              <c:numCache>
                <c:formatCode>General</c:formatCode>
                <c:ptCount val="4"/>
                <c:pt idx="0">
                  <c:v>1588.602306759022</c:v>
                </c:pt>
                <c:pt idx="1">
                  <c:v>1588.602306759022</c:v>
                </c:pt>
                <c:pt idx="2">
                  <c:v>978.1253487951613</c:v>
                </c:pt>
                <c:pt idx="3">
                  <c:v>672.5875857895569</c:v>
                </c:pt>
              </c:numCache>
            </c:numRef>
          </c:xVal>
          <c:yVal>
            <c:numRef>
              <c:f>'poids_temps de vol'!$Z$76:$Z$79</c:f>
              <c:numCache>
                <c:formatCode>General</c:formatCode>
                <c:ptCount val="4"/>
                <c:pt idx="0">
                  <c:v>9.63171184886118</c:v>
                </c:pt>
                <c:pt idx="1">
                  <c:v>9.63171184886118</c:v>
                </c:pt>
                <c:pt idx="2">
                  <c:v>15.45259972493252</c:v>
                </c:pt>
                <c:pt idx="3">
                  <c:v>22.15329131156221</c:v>
                </c:pt>
              </c:numCache>
            </c:numRef>
          </c:yVal>
          <c:smooth val="1"/>
        </c:ser>
        <c:axId val="700428680"/>
        <c:axId val="700431912"/>
      </c:scatterChart>
      <c:valAx>
        <c:axId val="700428680"/>
        <c:scaling>
          <c:orientation val="minMax"/>
        </c:scaling>
        <c:axPos val="b"/>
        <c:numFmt formatCode="General" sourceLinked="1"/>
        <c:tickLblPos val="nextTo"/>
        <c:crossAx val="700431912"/>
        <c:crosses val="autoZero"/>
        <c:crossBetween val="midCat"/>
      </c:valAx>
      <c:valAx>
        <c:axId val="700431912"/>
        <c:scaling>
          <c:orientation val="minMax"/>
        </c:scaling>
        <c:axPos val="l"/>
        <c:majorGridlines/>
        <c:numFmt formatCode="General" sourceLinked="1"/>
        <c:tickLblPos val="nextTo"/>
        <c:crossAx val="7004286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plotArea>
      <c:layout/>
      <c:scatterChart>
        <c:scatterStyle val="smoothMarker"/>
        <c:ser>
          <c:idx val="0"/>
          <c:order val="0"/>
          <c:tx>
            <c:v>à vide</c:v>
          </c:tx>
          <c:xVal>
            <c:numRef>
              <c:f>'poids_temps de vol'!$AF$59:$AJ$59</c:f>
              <c:numCache>
                <c:formatCode>General</c:formatCode>
                <c:ptCount val="5"/>
                <c:pt idx="0">
                  <c:v>2650.0</c:v>
                </c:pt>
                <c:pt idx="1">
                  <c:v>3300.0</c:v>
                </c:pt>
                <c:pt idx="2">
                  <c:v>6000.0</c:v>
                </c:pt>
                <c:pt idx="3">
                  <c:v>8000.0</c:v>
                </c:pt>
                <c:pt idx="4">
                  <c:v>10000.0</c:v>
                </c:pt>
              </c:numCache>
            </c:numRef>
          </c:xVal>
          <c:yVal>
            <c:numRef>
              <c:f>'poids_temps de vol'!$AF$60:$AJ$60</c:f>
              <c:numCache>
                <c:formatCode>General</c:formatCode>
                <c:ptCount val="5"/>
                <c:pt idx="0">
                  <c:v>11.40233132626425</c:v>
                </c:pt>
                <c:pt idx="1">
                  <c:v>13.18394436511063</c:v>
                </c:pt>
                <c:pt idx="2">
                  <c:v>18.86974956272966</c:v>
                </c:pt>
                <c:pt idx="3">
                  <c:v>22.90266332873847</c:v>
                </c:pt>
                <c:pt idx="4">
                  <c:v>22.15329131156221</c:v>
                </c:pt>
              </c:numCache>
            </c:numRef>
          </c:yVal>
          <c:smooth val="1"/>
        </c:ser>
        <c:ser>
          <c:idx val="1"/>
          <c:order val="1"/>
          <c:tx>
            <c:v>en charge</c:v>
          </c:tx>
          <c:xVal>
            <c:numRef>
              <c:f>'poids_temps de vol'!$AF$59:$AJ$59</c:f>
              <c:numCache>
                <c:formatCode>General</c:formatCode>
                <c:ptCount val="5"/>
                <c:pt idx="0">
                  <c:v>2650.0</c:v>
                </c:pt>
                <c:pt idx="1">
                  <c:v>3300.0</c:v>
                </c:pt>
                <c:pt idx="2">
                  <c:v>6000.0</c:v>
                </c:pt>
                <c:pt idx="3">
                  <c:v>8000.0</c:v>
                </c:pt>
                <c:pt idx="4">
                  <c:v>10000.0</c:v>
                </c:pt>
              </c:numCache>
            </c:numRef>
          </c:xVal>
          <c:yVal>
            <c:numRef>
              <c:f>'poids_temps de vol'!$AF$61:$AJ$61</c:f>
              <c:numCache>
                <c:formatCode>General</c:formatCode>
                <c:ptCount val="5"/>
                <c:pt idx="0">
                  <c:v>6.281914615523344</c:v>
                </c:pt>
                <c:pt idx="1">
                  <c:v>7.509045416338564</c:v>
                </c:pt>
                <c:pt idx="2">
                  <c:v>11.83776921985012</c:v>
                </c:pt>
                <c:pt idx="3">
                  <c:v>14.84537119696465</c:v>
                </c:pt>
                <c:pt idx="4">
                  <c:v>15.45259972493252</c:v>
                </c:pt>
              </c:numCache>
            </c:numRef>
          </c:yVal>
          <c:smooth val="1"/>
        </c:ser>
        <c:ser>
          <c:idx val="2"/>
          <c:order val="2"/>
          <c:tx>
            <c:v>maxi</c:v>
          </c:tx>
          <c:xVal>
            <c:numRef>
              <c:f>'poids_temps de vol'!$AF$59:$AJ$59</c:f>
              <c:numCache>
                <c:formatCode>General</c:formatCode>
                <c:ptCount val="5"/>
                <c:pt idx="0">
                  <c:v>2650.0</c:v>
                </c:pt>
                <c:pt idx="1">
                  <c:v>3300.0</c:v>
                </c:pt>
                <c:pt idx="2">
                  <c:v>6000.0</c:v>
                </c:pt>
                <c:pt idx="3">
                  <c:v>8000.0</c:v>
                </c:pt>
                <c:pt idx="4">
                  <c:v>10000.0</c:v>
                </c:pt>
              </c:numCache>
            </c:numRef>
          </c:xVal>
          <c:yVal>
            <c:numRef>
              <c:f>'poids_temps de vol'!$AF$62:$AJ$62</c:f>
              <c:numCache>
                <c:formatCode>General</c:formatCode>
                <c:ptCount val="5"/>
                <c:pt idx="0">
                  <c:v>3.922803732743016</c:v>
                </c:pt>
                <c:pt idx="1">
                  <c:v>4.684465601177864</c:v>
                </c:pt>
                <c:pt idx="2">
                  <c:v>7.339869772626607</c:v>
                </c:pt>
                <c:pt idx="3">
                  <c:v>9.25262185742441</c:v>
                </c:pt>
                <c:pt idx="4">
                  <c:v>9.63171184886118</c:v>
                </c:pt>
              </c:numCache>
            </c:numRef>
          </c:yVal>
          <c:smooth val="1"/>
        </c:ser>
        <c:axId val="700230088"/>
        <c:axId val="700233160"/>
      </c:scatterChart>
      <c:valAx>
        <c:axId val="700230088"/>
        <c:scaling>
          <c:orientation val="minMax"/>
        </c:scaling>
        <c:axPos val="b"/>
        <c:numFmt formatCode="General" sourceLinked="1"/>
        <c:tickLblPos val="nextTo"/>
        <c:crossAx val="700233160"/>
        <c:crosses val="autoZero"/>
        <c:crossBetween val="midCat"/>
      </c:valAx>
      <c:valAx>
        <c:axId val="700233160"/>
        <c:scaling>
          <c:orientation val="minMax"/>
        </c:scaling>
        <c:axPos val="l"/>
        <c:majorGridlines/>
        <c:numFmt formatCode="General" sourceLinked="1"/>
        <c:tickLblPos val="nextTo"/>
        <c:crossAx val="7002300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Turnigy Multistar 4225-390Kv Temps/traction 13x4</a:t>
            </a:r>
          </a:p>
        </c:rich>
      </c:tx>
      <c:layout/>
    </c:title>
    <c:plotArea>
      <c:layout/>
      <c:scatterChart>
        <c:scatterStyle val="smoothMarker"/>
        <c:ser>
          <c:idx val="3"/>
          <c:order val="0"/>
          <c:tx>
            <c:v>"calcul sur 1ère mesure"</c:v>
          </c:tx>
          <c:xVal>
            <c:numRef>
              <c:f>'adapt. Rc'!$C$52:$C$55</c:f>
              <c:numCache>
                <c:formatCode>General</c:formatCode>
                <c:ptCount val="4"/>
                <c:pt idx="0">
                  <c:v>1503.86441745659</c:v>
                </c:pt>
                <c:pt idx="1">
                  <c:v>1368.072893016123</c:v>
                </c:pt>
                <c:pt idx="2">
                  <c:v>837.7445713750785</c:v>
                </c:pt>
                <c:pt idx="3">
                  <c:v>537.7330755605636</c:v>
                </c:pt>
              </c:numCache>
            </c:numRef>
          </c:xVal>
          <c:yVal>
            <c:numRef>
              <c:f>'adapt. Rc'!$E$52:$E$55</c:f>
              <c:numCache>
                <c:formatCode>General</c:formatCode>
                <c:ptCount val="4"/>
                <c:pt idx="0">
                  <c:v>8.842086786016773</c:v>
                </c:pt>
                <c:pt idx="1">
                  <c:v>9.69790654330844</c:v>
                </c:pt>
                <c:pt idx="2">
                  <c:v>15.59166180957637</c:v>
                </c:pt>
                <c:pt idx="3">
                  <c:v>23.76057053952817</c:v>
                </c:pt>
              </c:numCache>
            </c:numRef>
          </c:yVal>
          <c:smooth val="1"/>
        </c:ser>
        <c:ser>
          <c:idx val="0"/>
          <c:order val="1"/>
          <c:tx>
            <c:v>mesures</c:v>
          </c:tx>
          <c:xVal>
            <c:numRef>
              <c:f>'adapt. Rc'!$L$49:$L$52</c:f>
              <c:numCache>
                <c:formatCode>General</c:formatCode>
                <c:ptCount val="4"/>
                <c:pt idx="0">
                  <c:v>1500.0</c:v>
                </c:pt>
                <c:pt idx="1">
                  <c:v>1300.0</c:v>
                </c:pt>
                <c:pt idx="2">
                  <c:v>800.0</c:v>
                </c:pt>
                <c:pt idx="3">
                  <c:v>500.0</c:v>
                </c:pt>
              </c:numCache>
            </c:numRef>
          </c:xVal>
          <c:yVal>
            <c:numRef>
              <c:f>'adapt. Rc'!$R$49:$R$52</c:f>
              <c:numCache>
                <c:formatCode>General</c:formatCode>
                <c:ptCount val="4"/>
                <c:pt idx="0">
                  <c:v>8.981037735849056</c:v>
                </c:pt>
                <c:pt idx="1">
                  <c:v>10.838731596829</c:v>
                </c:pt>
                <c:pt idx="2">
                  <c:v>21.68224719101124</c:v>
                </c:pt>
                <c:pt idx="3">
                  <c:v>37.23</c:v>
                </c:pt>
              </c:numCache>
            </c:numRef>
          </c:yVal>
          <c:smooth val="1"/>
        </c:ser>
        <c:ser>
          <c:idx val="1"/>
          <c:order val="2"/>
          <c:tx>
            <c:v>calculs de départ</c:v>
          </c:tx>
          <c:xVal>
            <c:numRef>
              <c:f>'poids_temps de vol'!$C$52:$C$55</c:f>
              <c:numCache>
                <c:formatCode>General</c:formatCode>
                <c:ptCount val="4"/>
                <c:pt idx="0">
                  <c:v>1588.602306759022</c:v>
                </c:pt>
                <c:pt idx="1">
                  <c:v>1317.596907715303</c:v>
                </c:pt>
                <c:pt idx="2">
                  <c:v>809.151245594163</c:v>
                </c:pt>
                <c:pt idx="3">
                  <c:v>513.2225186663397</c:v>
                </c:pt>
              </c:numCache>
            </c:numRef>
          </c:xVal>
          <c:yVal>
            <c:numRef>
              <c:f>'poids_temps de vol'!$E$52:$E$55</c:f>
              <c:numCache>
                <c:formatCode>General</c:formatCode>
                <c:ptCount val="4"/>
                <c:pt idx="0">
                  <c:v>7.705369479088943</c:v>
                </c:pt>
                <c:pt idx="1">
                  <c:v>9.25262185742441</c:v>
                </c:pt>
                <c:pt idx="2">
                  <c:v>14.84537119696465</c:v>
                </c:pt>
                <c:pt idx="3">
                  <c:v>22.90266332873847</c:v>
                </c:pt>
              </c:numCache>
            </c:numRef>
          </c:yVal>
          <c:smooth val="1"/>
        </c:ser>
        <c:axId val="700207816"/>
        <c:axId val="700210888"/>
      </c:scatterChart>
      <c:valAx>
        <c:axId val="700207816"/>
        <c:scaling>
          <c:orientation val="minMax"/>
          <c:max val="1800.0"/>
          <c:min val="0.0"/>
        </c:scaling>
        <c:axPos val="b"/>
        <c:numFmt formatCode="General" sourceLinked="1"/>
        <c:tickLblPos val="nextTo"/>
        <c:crossAx val="700210888"/>
        <c:crosses val="autoZero"/>
        <c:crossBetween val="midCat"/>
      </c:valAx>
      <c:valAx>
        <c:axId val="700210888"/>
        <c:scaling>
          <c:orientation val="minMax"/>
        </c:scaling>
        <c:axPos val="l"/>
        <c:majorGridlines/>
        <c:numFmt formatCode="General" sourceLinked="1"/>
        <c:tickLblPos val="nextTo"/>
        <c:crossAx val="7002078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globale (grs/W)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'5017-620Kv'!$F$50:$F$76</c:f>
              <c:numCache>
                <c:formatCode>General</c:formatCode>
                <c:ptCount val="27"/>
                <c:pt idx="0">
                  <c:v>284.6353610876704</c:v>
                </c:pt>
                <c:pt idx="1">
                  <c:v>269.5308625225164</c:v>
                </c:pt>
                <c:pt idx="2">
                  <c:v>245.4989639349141</c:v>
                </c:pt>
                <c:pt idx="3">
                  <c:v>222.868373899349</c:v>
                </c:pt>
                <c:pt idx="4">
                  <c:v>212.068803971803</c:v>
                </c:pt>
                <c:pt idx="5">
                  <c:v>201.6077349693834</c:v>
                </c:pt>
                <c:pt idx="6">
                  <c:v>191.4811107821238</c:v>
                </c:pt>
                <c:pt idx="7">
                  <c:v>181.6848184029952</c:v>
                </c:pt>
                <c:pt idx="8">
                  <c:v>172.2146866416192</c:v>
                </c:pt>
                <c:pt idx="9">
                  <c:v>163.0664847980997</c:v>
                </c:pt>
                <c:pt idx="10">
                  <c:v>154.23592129541</c:v>
                </c:pt>
                <c:pt idx="11">
                  <c:v>145.7186422687005</c:v>
                </c:pt>
                <c:pt idx="12">
                  <c:v>137.5102301097814</c:v>
                </c:pt>
                <c:pt idx="13">
                  <c:v>129.6062019650092</c:v>
                </c:pt>
                <c:pt idx="14">
                  <c:v>122.0020081846479</c:v>
                </c:pt>
                <c:pt idx="15">
                  <c:v>114.6930307217353</c:v>
                </c:pt>
                <c:pt idx="16">
                  <c:v>107.6745814783691</c:v>
                </c:pt>
                <c:pt idx="17">
                  <c:v>100.941900597219</c:v>
                </c:pt>
                <c:pt idx="18">
                  <c:v>94.4901546959603</c:v>
                </c:pt>
                <c:pt idx="19">
                  <c:v>88.31443504220385</c:v>
                </c:pt>
                <c:pt idx="20">
                  <c:v>82.40975566641272</c:v>
                </c:pt>
                <c:pt idx="21">
                  <c:v>76.77105141008084</c:v>
                </c:pt>
                <c:pt idx="22">
                  <c:v>71.39317590640228</c:v>
                </c:pt>
                <c:pt idx="23">
                  <c:v>66.27089949044308</c:v>
                </c:pt>
                <c:pt idx="24">
                  <c:v>61.39890703571211</c:v>
                </c:pt>
                <c:pt idx="25">
                  <c:v>56.77179571382452</c:v>
                </c:pt>
                <c:pt idx="26">
                  <c:v>52.38407267381355</c:v>
                </c:pt>
              </c:numCache>
            </c:numRef>
          </c:xVal>
          <c:yVal>
            <c:numRef>
              <c:f>'5017-620Kv'!$L$50:$L$76</c:f>
              <c:numCache>
                <c:formatCode>General</c:formatCode>
                <c:ptCount val="27"/>
                <c:pt idx="0">
                  <c:v>6.344481569402535</c:v>
                </c:pt>
                <c:pt idx="1">
                  <c:v>6.459487435626706</c:v>
                </c:pt>
                <c:pt idx="2">
                  <c:v>6.659983261456943</c:v>
                </c:pt>
                <c:pt idx="3">
                  <c:v>6.872250538722548</c:v>
                </c:pt>
                <c:pt idx="4">
                  <c:v>6.983084788981134</c:v>
                </c:pt>
                <c:pt idx="5">
                  <c:v>7.097214330349456</c:v>
                </c:pt>
                <c:pt idx="6">
                  <c:v>7.214765847640967</c:v>
                </c:pt>
                <c:pt idx="7">
                  <c:v>7.33587035798239</c:v>
                </c:pt>
                <c:pt idx="8">
                  <c:v>7.460663060776953</c:v>
                </c:pt>
                <c:pt idx="9">
                  <c:v>7.589283100505104</c:v>
                </c:pt>
                <c:pt idx="10">
                  <c:v>7.721873220814008</c:v>
                </c:pt>
                <c:pt idx="11">
                  <c:v>7.858579283507573</c:v>
                </c:pt>
                <c:pt idx="12">
                  <c:v>7.999549620121951</c:v>
                </c:pt>
                <c:pt idx="13">
                  <c:v>8.144934176497825</c:v>
                </c:pt>
                <c:pt idx="14">
                  <c:v>8.294883401842734</c:v>
                </c:pt>
                <c:pt idx="15">
                  <c:v>8.44954682281527</c:v>
                </c:pt>
                <c:pt idx="16">
                  <c:v>8.60907122969464</c:v>
                </c:pt>
                <c:pt idx="17">
                  <c:v>8.773598385133361</c:v>
                </c:pt>
                <c:pt idx="18">
                  <c:v>8.943262145607281</c:v>
                </c:pt>
                <c:pt idx="19">
                  <c:v>9.118184860586646</c:v>
                </c:pt>
                <c:pt idx="20">
                  <c:v>9.298472883562129</c:v>
                </c:pt>
                <c:pt idx="21">
                  <c:v>9.484210991060115</c:v>
                </c:pt>
                <c:pt idx="22">
                  <c:v>9.67545545902738</c:v>
                </c:pt>
                <c:pt idx="23">
                  <c:v>9.872225488555816</c:v>
                </c:pt>
                <c:pt idx="24">
                  <c:v>10.07449260251763</c:v>
                </c:pt>
                <c:pt idx="25">
                  <c:v>10.28216754861877</c:v>
                </c:pt>
                <c:pt idx="26">
                  <c:v>10.49508413955488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'5017-620Kv'!$F$90:$F$115</c:f>
              <c:numCache>
                <c:formatCode>General</c:formatCode>
                <c:ptCount val="26"/>
                <c:pt idx="0">
                  <c:v>280.9049258011302</c:v>
                </c:pt>
                <c:pt idx="1">
                  <c:v>266.9531470225018</c:v>
                </c:pt>
                <c:pt idx="2">
                  <c:v>253.4373449713141</c:v>
                </c:pt>
                <c:pt idx="3">
                  <c:v>240.3529428064217</c:v>
                </c:pt>
                <c:pt idx="4">
                  <c:v>227.6952799705048</c:v>
                </c:pt>
                <c:pt idx="5">
                  <c:v>215.4596096960674</c:v>
                </c:pt>
                <c:pt idx="6">
                  <c:v>203.6410964088026</c:v>
                </c:pt>
                <c:pt idx="7">
                  <c:v>192.2348130229475</c:v>
                </c:pt>
                <c:pt idx="8">
                  <c:v>181.2357381228867</c:v>
                </c:pt>
                <c:pt idx="9">
                  <c:v>170.6387530249009</c:v>
                </c:pt>
                <c:pt idx="10">
                  <c:v>160.4386387125594</c:v>
                </c:pt>
                <c:pt idx="11">
                  <c:v>150.6300726388213</c:v>
                </c:pt>
                <c:pt idx="12">
                  <c:v>141.2076253874448</c:v>
                </c:pt>
                <c:pt idx="13">
                  <c:v>132.165757185818</c:v>
                </c:pt>
                <c:pt idx="14">
                  <c:v>123.4988142607579</c:v>
                </c:pt>
                <c:pt idx="15">
                  <c:v>115.2010250282767</c:v>
                </c:pt>
                <c:pt idx="16">
                  <c:v>107.2664961076439</c:v>
                </c:pt>
                <c:pt idx="17">
                  <c:v>99.68920814942661</c:v>
                </c:pt>
                <c:pt idx="18">
                  <c:v>92.46301146641555</c:v>
                </c:pt>
                <c:pt idx="19">
                  <c:v>85.581621455572</c:v>
                </c:pt>
                <c:pt idx="20">
                  <c:v>79.03861379823193</c:v>
                </c:pt>
                <c:pt idx="21">
                  <c:v>72.82741942487663</c:v>
                </c:pt>
                <c:pt idx="22">
                  <c:v>66.94131922973384</c:v>
                </c:pt>
                <c:pt idx="23">
                  <c:v>61.37343851935338</c:v>
                </c:pt>
                <c:pt idx="24">
                  <c:v>56.1167411780874</c:v>
                </c:pt>
                <c:pt idx="25">
                  <c:v>51.16402353205184</c:v>
                </c:pt>
              </c:numCache>
            </c:numRef>
          </c:xVal>
          <c:yVal>
            <c:numRef>
              <c:f>'5017-620Kv'!$L$90:$L$115</c:f>
              <c:numCache>
                <c:formatCode>General</c:formatCode>
                <c:ptCount val="26"/>
                <c:pt idx="0">
                  <c:v>6.210151501251716</c:v>
                </c:pt>
                <c:pt idx="1">
                  <c:v>6.318937555549559</c:v>
                </c:pt>
                <c:pt idx="2">
                  <c:v>6.431373959279486</c:v>
                </c:pt>
                <c:pt idx="3">
                  <c:v>6.547632087898873</c:v>
                </c:pt>
                <c:pt idx="4">
                  <c:v>6.667892692954307</c:v>
                </c:pt>
                <c:pt idx="5">
                  <c:v>6.792346343665289</c:v>
                </c:pt>
                <c:pt idx="6">
                  <c:v>6.921193852934766</c:v>
                </c:pt>
                <c:pt idx="7">
                  <c:v>7.054646674501435</c:v>
                </c:pt>
                <c:pt idx="8">
                  <c:v>7.192927253767976</c:v>
                </c:pt>
                <c:pt idx="9">
                  <c:v>7.336269309478192</c:v>
                </c:pt>
                <c:pt idx="10">
                  <c:v>7.484918016543835</c:v>
                </c:pt>
                <c:pt idx="11">
                  <c:v>7.639130051508878</c:v>
                </c:pt>
                <c:pt idx="12">
                  <c:v>7.799173450829734</c:v>
                </c:pt>
                <c:pt idx="13">
                  <c:v>7.965327217622987</c:v>
                </c:pt>
                <c:pt idx="14">
                  <c:v>8.137880593857996</c:v>
                </c:pt>
                <c:pt idx="15">
                  <c:v>8.317131890927036</c:v>
                </c:pt>
                <c:pt idx="16">
                  <c:v>8.503386740538591</c:v>
                </c:pt>
                <c:pt idx="17">
                  <c:v>8.69695558787435</c:v>
                </c:pt>
                <c:pt idx="18">
                  <c:v>8.898150197246371</c:v>
                </c:pt>
                <c:pt idx="19">
                  <c:v>9.107278873557185</c:v>
                </c:pt>
                <c:pt idx="20">
                  <c:v>9.324640016120973</c:v>
                </c:pt>
                <c:pt idx="21">
                  <c:v>9.55051350884457</c:v>
                </c:pt>
                <c:pt idx="22">
                  <c:v>9.785149304597837</c:v>
                </c:pt>
                <c:pt idx="23">
                  <c:v>10.02875237169281</c:v>
                </c:pt>
                <c:pt idx="24">
                  <c:v>10.28146292367188</c:v>
                </c:pt>
                <c:pt idx="25">
                  <c:v>10.54333053336016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'5017-620Kv'!$F$127:$F$151</c:f>
              <c:numCache>
                <c:formatCode>General</c:formatCode>
                <c:ptCount val="25"/>
                <c:pt idx="0">
                  <c:v>308.3551267985732</c:v>
                </c:pt>
                <c:pt idx="1">
                  <c:v>280.158366221019</c:v>
                </c:pt>
                <c:pt idx="2">
                  <c:v>253.6197583837603</c:v>
                </c:pt>
                <c:pt idx="3">
                  <c:v>240.9615360832674</c:v>
                </c:pt>
                <c:pt idx="4">
                  <c:v>228.7048385891807</c:v>
                </c:pt>
                <c:pt idx="5">
                  <c:v>216.8451762094546</c:v>
                </c:pt>
                <c:pt idx="6">
                  <c:v>205.3779828356367</c:v>
                </c:pt>
                <c:pt idx="7">
                  <c:v>194.2986138322134</c:v>
                </c:pt>
                <c:pt idx="8">
                  <c:v>183.6023438456442</c:v>
                </c:pt>
                <c:pt idx="9">
                  <c:v>173.2843645291691</c:v>
                </c:pt>
                <c:pt idx="10">
                  <c:v>163.339782179284</c:v>
                </c:pt>
                <c:pt idx="11">
                  <c:v>153.7636152795073</c:v>
                </c:pt>
                <c:pt idx="12">
                  <c:v>144.5507919468177</c:v>
                </c:pt>
                <c:pt idx="13">
                  <c:v>135.696147275835</c:v>
                </c:pt>
                <c:pt idx="14">
                  <c:v>127.1944205755404</c:v>
                </c:pt>
                <c:pt idx="15">
                  <c:v>119.040252493003</c:v>
                </c:pt>
                <c:pt idx="16">
                  <c:v>111.2281820182167</c:v>
                </c:pt>
                <c:pt idx="17">
                  <c:v>103.7526433637986</c:v>
                </c:pt>
                <c:pt idx="18">
                  <c:v>96.60796271289477</c:v>
                </c:pt>
                <c:pt idx="19">
                  <c:v>89.78835482819616</c:v>
                </c:pt>
                <c:pt idx="20">
                  <c:v>83.28791951452182</c:v>
                </c:pt>
                <c:pt idx="21">
                  <c:v>77.10063792691491</c:v>
                </c:pt>
                <c:pt idx="22">
                  <c:v>71.2203687156677</c:v>
                </c:pt>
                <c:pt idx="23">
                  <c:v>65.6408439990917</c:v>
                </c:pt>
                <c:pt idx="24">
                  <c:v>60.35566515426095</c:v>
                </c:pt>
              </c:numCache>
            </c:numRef>
          </c:xVal>
          <c:yVal>
            <c:numRef>
              <c:f>'5017-620Kv'!$L$127:$L$151</c:f>
              <c:numCache>
                <c:formatCode>General</c:formatCode>
                <c:ptCount val="25"/>
                <c:pt idx="0">
                  <c:v>5.546289152707052</c:v>
                </c:pt>
                <c:pt idx="1">
                  <c:v>5.729578333097888</c:v>
                </c:pt>
                <c:pt idx="2">
                  <c:v>5.924606902920789</c:v>
                </c:pt>
                <c:pt idx="3">
                  <c:v>6.02684961127157</c:v>
                </c:pt>
                <c:pt idx="4">
                  <c:v>6.132431824227309</c:v>
                </c:pt>
                <c:pt idx="5">
                  <c:v>6.24150272190852</c:v>
                </c:pt>
                <c:pt idx="6">
                  <c:v>6.354218786612074</c:v>
                </c:pt>
                <c:pt idx="7">
                  <c:v>6.470744009980843</c:v>
                </c:pt>
                <c:pt idx="8">
                  <c:v>6.591250054268261</c:v>
                </c:pt>
                <c:pt idx="9">
                  <c:v>6.71591635014498</c:v>
                </c:pt>
                <c:pt idx="10">
                  <c:v>6.844930108702589</c:v>
                </c:pt>
                <c:pt idx="11">
                  <c:v>6.978486219266537</c:v>
                </c:pt>
                <c:pt idx="12">
                  <c:v>7.116786996998765</c:v>
                </c:pt>
                <c:pt idx="13">
                  <c:v>7.2600417346297</c:v>
                </c:pt>
                <c:pt idx="14">
                  <c:v>7.408466000459902</c:v>
                </c:pt>
                <c:pt idx="15">
                  <c:v>7.56228060932388</c:v>
                </c:pt>
                <c:pt idx="16">
                  <c:v>7.721710173623645</c:v>
                </c:pt>
                <c:pt idx="17">
                  <c:v>7.88698111667409</c:v>
                </c:pt>
                <c:pt idx="18">
                  <c:v>8.058318999001267</c:v>
                </c:pt>
                <c:pt idx="19">
                  <c:v>8.23594496802846</c:v>
                </c:pt>
                <c:pt idx="20">
                  <c:v>8.420071090372812</c:v>
                </c:pt>
                <c:pt idx="21">
                  <c:v>8.610894260700708</c:v>
                </c:pt>
                <c:pt idx="22">
                  <c:v>8.808588297839795</c:v>
                </c:pt>
                <c:pt idx="23">
                  <c:v>9.013293732659074</c:v>
                </c:pt>
                <c:pt idx="24">
                  <c:v>9.22510465682046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'5017-620Kv'!$F$168:$F$179</c:f>
              <c:numCache>
                <c:formatCode>General</c:formatCode>
                <c:ptCount val="12"/>
                <c:pt idx="0">
                  <c:v>256.1423701765446</c:v>
                </c:pt>
                <c:pt idx="1">
                  <c:v>250.2446030712608</c:v>
                </c:pt>
                <c:pt idx="2">
                  <c:v>221.9899826643693</c:v>
                </c:pt>
                <c:pt idx="3">
                  <c:v>195.7601818845067</c:v>
                </c:pt>
                <c:pt idx="4">
                  <c:v>171.5095024193591</c:v>
                </c:pt>
                <c:pt idx="5">
                  <c:v>149.1898603990654</c:v>
                </c:pt>
                <c:pt idx="6">
                  <c:v>128.7505780621678</c:v>
                </c:pt>
                <c:pt idx="7">
                  <c:v>110.1381496570071</c:v>
                </c:pt>
                <c:pt idx="8">
                  <c:v>93.29597741237986</c:v>
                </c:pt>
                <c:pt idx="9">
                  <c:v>78.16407257047156</c:v>
                </c:pt>
                <c:pt idx="10">
                  <c:v>64.67871542882139</c:v>
                </c:pt>
                <c:pt idx="11">
                  <c:v>52.77206702684911</c:v>
                </c:pt>
              </c:numCache>
            </c:numRef>
          </c:xVal>
          <c:yVal>
            <c:numRef>
              <c:f>'5017-620Kv'!$L$168:$L$179</c:f>
              <c:numCache>
                <c:formatCode>General</c:formatCode>
                <c:ptCount val="12"/>
                <c:pt idx="0">
                  <c:v>6.549679819769681</c:v>
                </c:pt>
                <c:pt idx="1">
                  <c:v>6.603561677111424</c:v>
                </c:pt>
                <c:pt idx="2">
                  <c:v>6.886135166338168</c:v>
                </c:pt>
                <c:pt idx="3">
                  <c:v>7.19254880576834</c:v>
                </c:pt>
                <c:pt idx="4">
                  <c:v>7.525690891940076</c:v>
                </c:pt>
                <c:pt idx="5">
                  <c:v>7.888863648721413</c:v>
                </c:pt>
                <c:pt idx="6">
                  <c:v>8.285831137147217</c:v>
                </c:pt>
                <c:pt idx="7">
                  <c:v>8.720856488348522</c:v>
                </c:pt>
                <c:pt idx="8">
                  <c:v>9.198710640915358</c:v>
                </c:pt>
                <c:pt idx="9">
                  <c:v>9.724618229472684</c:v>
                </c:pt>
                <c:pt idx="10">
                  <c:v>10.30407509730638</c:v>
                </c:pt>
                <c:pt idx="11">
                  <c:v>10.94241267107649</c:v>
                </c:pt>
              </c:numCache>
            </c:numRef>
          </c:yVal>
          <c:smooth val="1"/>
        </c:ser>
        <c:ser>
          <c:idx val="4"/>
          <c:order val="4"/>
          <c:tx>
            <c:v>12x4,5 HK</c:v>
          </c:tx>
          <c:xVal>
            <c:numRef>
              <c:f>'5017-620Kv'!$F$192:$F$200</c:f>
              <c:numCache>
                <c:formatCode>General</c:formatCode>
                <c:ptCount val="9"/>
                <c:pt idx="0">
                  <c:v>309.1669960256286</c:v>
                </c:pt>
                <c:pt idx="1">
                  <c:v>260.1532465177483</c:v>
                </c:pt>
                <c:pt idx="2">
                  <c:v>216.3894512879094</c:v>
                </c:pt>
                <c:pt idx="3">
                  <c:v>177.6456853816391</c:v>
                </c:pt>
                <c:pt idx="4">
                  <c:v>143.6805176277844</c:v>
                </c:pt>
                <c:pt idx="5">
                  <c:v>108.8716589779502</c:v>
                </c:pt>
                <c:pt idx="6">
                  <c:v>89.0569318075504</c:v>
                </c:pt>
                <c:pt idx="7">
                  <c:v>67.8490389963486</c:v>
                </c:pt>
                <c:pt idx="8">
                  <c:v>58.64331713429635</c:v>
                </c:pt>
              </c:numCache>
            </c:numRef>
          </c:xVal>
          <c:yVal>
            <c:numRef>
              <c:f>'5017-620Kv'!$L$192:$L$200</c:f>
              <c:numCache>
                <c:formatCode>General</c:formatCode>
                <c:ptCount val="9"/>
                <c:pt idx="0">
                  <c:v>5.67748907569475</c:v>
                </c:pt>
                <c:pt idx="1">
                  <c:v>6.006134848819528</c:v>
                </c:pt>
                <c:pt idx="2">
                  <c:v>6.37147930383916</c:v>
                </c:pt>
                <c:pt idx="3">
                  <c:v>6.778992779416184</c:v>
                </c:pt>
                <c:pt idx="4">
                  <c:v>7.234821273171887</c:v>
                </c:pt>
                <c:pt idx="5">
                  <c:v>7.854863000202709</c:v>
                </c:pt>
                <c:pt idx="6">
                  <c:v>8.317540720681526</c:v>
                </c:pt>
                <c:pt idx="7">
                  <c:v>8.955296722321584</c:v>
                </c:pt>
                <c:pt idx="8">
                  <c:v>9.298917275037983</c:v>
                </c:pt>
              </c:numCache>
            </c:numRef>
          </c:yVal>
          <c:smooth val="1"/>
        </c:ser>
        <c:axId val="781061768"/>
        <c:axId val="781057960"/>
      </c:scatterChart>
      <c:valAx>
        <c:axId val="781061768"/>
        <c:scaling>
          <c:orientation val="minMax"/>
        </c:scaling>
        <c:axPos val="b"/>
        <c:numFmt formatCode="General" sourceLinked="1"/>
        <c:tickLblPos val="nextTo"/>
        <c:crossAx val="781057960"/>
        <c:crosses val="autoZero"/>
        <c:crossBetween val="midCat"/>
      </c:valAx>
      <c:valAx>
        <c:axId val="781057960"/>
        <c:scaling>
          <c:orientation val="minMax"/>
        </c:scaling>
        <c:axPos val="l"/>
        <c:majorGridlines/>
        <c:numFmt formatCode="General" sourceLinked="1"/>
        <c:tickLblPos val="nextTo"/>
        <c:crossAx val="78106176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mécanique (grs/W)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'5017-620Kv'!$G$50:$G$76</c:f>
              <c:numCache>
                <c:formatCode>General</c:formatCode>
                <c:ptCount val="27"/>
                <c:pt idx="0">
                  <c:v>228.1491152928766</c:v>
                </c:pt>
                <c:pt idx="1">
                  <c:v>215.9738340226026</c:v>
                </c:pt>
                <c:pt idx="2">
                  <c:v>196.5511103831483</c:v>
                </c:pt>
                <c:pt idx="3">
                  <c:v>178.2019459748415</c:v>
                </c:pt>
                <c:pt idx="4">
                  <c:v>169.4249839691338</c:v>
                </c:pt>
                <c:pt idx="5">
                  <c:v>160.9103451914054</c:v>
                </c:pt>
                <c:pt idx="6">
                  <c:v>152.6558909065967</c:v>
                </c:pt>
                <c:pt idx="7">
                  <c:v>144.6594235011027</c:v>
                </c:pt>
                <c:pt idx="8">
                  <c:v>136.9186847170027</c:v>
                </c:pt>
                <c:pt idx="9">
                  <c:v>129.4313538219308</c:v>
                </c:pt>
                <c:pt idx="10">
                  <c:v>122.1950457117714</c:v>
                </c:pt>
                <c:pt idx="11">
                  <c:v>115.2073089432307</c:v>
                </c:pt>
                <c:pt idx="12">
                  <c:v>108.4656236931504</c:v>
                </c:pt>
                <c:pt idx="13">
                  <c:v>101.9673996413144</c:v>
                </c:pt>
                <c:pt idx="14">
                  <c:v>95.70997377327488</c:v>
                </c:pt>
                <c:pt idx="15">
                  <c:v>89.69060809957837</c:v>
                </c:pt>
                <c:pt idx="16">
                  <c:v>83.90648728756828</c:v>
                </c:pt>
                <c:pt idx="17">
                  <c:v>78.35471620173082</c:v>
                </c:pt>
                <c:pt idx="18">
                  <c:v>73.03231734833022</c:v>
                </c:pt>
                <c:pt idx="19">
                  <c:v>67.93622821984747</c:v>
                </c:pt>
                <c:pt idx="20">
                  <c:v>63.06329853451736</c:v>
                </c:pt>
                <c:pt idx="21">
                  <c:v>58.41028736593241</c:v>
                </c:pt>
                <c:pt idx="22">
                  <c:v>53.97386015747487</c:v>
                </c:pt>
                <c:pt idx="23">
                  <c:v>49.75058561598598</c:v>
                </c:pt>
                <c:pt idx="24">
                  <c:v>45.73693247879785</c:v>
                </c:pt>
                <c:pt idx="25">
                  <c:v>41.92926614788652</c:v>
                </c:pt>
                <c:pt idx="26">
                  <c:v>38.3238451845761</c:v>
                </c:pt>
              </c:numCache>
            </c:numRef>
          </c:xVal>
          <c:yVal>
            <c:numRef>
              <c:f>'5017-620Kv'!$L$50:$L$76</c:f>
              <c:numCache>
                <c:formatCode>General</c:formatCode>
                <c:ptCount val="27"/>
                <c:pt idx="0">
                  <c:v>6.344481569402535</c:v>
                </c:pt>
                <c:pt idx="1">
                  <c:v>6.459487435626706</c:v>
                </c:pt>
                <c:pt idx="2">
                  <c:v>6.659983261456943</c:v>
                </c:pt>
                <c:pt idx="3">
                  <c:v>6.872250538722548</c:v>
                </c:pt>
                <c:pt idx="4">
                  <c:v>6.983084788981134</c:v>
                </c:pt>
                <c:pt idx="5">
                  <c:v>7.097214330349456</c:v>
                </c:pt>
                <c:pt idx="6">
                  <c:v>7.214765847640967</c:v>
                </c:pt>
                <c:pt idx="7">
                  <c:v>7.33587035798239</c:v>
                </c:pt>
                <c:pt idx="8">
                  <c:v>7.460663060776953</c:v>
                </c:pt>
                <c:pt idx="9">
                  <c:v>7.589283100505104</c:v>
                </c:pt>
                <c:pt idx="10">
                  <c:v>7.721873220814008</c:v>
                </c:pt>
                <c:pt idx="11">
                  <c:v>7.858579283507573</c:v>
                </c:pt>
                <c:pt idx="12">
                  <c:v>7.999549620121951</c:v>
                </c:pt>
                <c:pt idx="13">
                  <c:v>8.144934176497825</c:v>
                </c:pt>
                <c:pt idx="14">
                  <c:v>8.294883401842734</c:v>
                </c:pt>
                <c:pt idx="15">
                  <c:v>8.44954682281527</c:v>
                </c:pt>
                <c:pt idx="16">
                  <c:v>8.60907122969464</c:v>
                </c:pt>
                <c:pt idx="17">
                  <c:v>8.773598385133361</c:v>
                </c:pt>
                <c:pt idx="18">
                  <c:v>8.943262145607281</c:v>
                </c:pt>
                <c:pt idx="19">
                  <c:v>9.118184860586646</c:v>
                </c:pt>
                <c:pt idx="20">
                  <c:v>9.298472883562129</c:v>
                </c:pt>
                <c:pt idx="21">
                  <c:v>9.484210991060115</c:v>
                </c:pt>
                <c:pt idx="22">
                  <c:v>9.67545545902738</c:v>
                </c:pt>
                <c:pt idx="23">
                  <c:v>9.872225488555816</c:v>
                </c:pt>
                <c:pt idx="24">
                  <c:v>10.07449260251763</c:v>
                </c:pt>
                <c:pt idx="25">
                  <c:v>10.28216754861877</c:v>
                </c:pt>
                <c:pt idx="26">
                  <c:v>10.49508413955488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'5017-620Kv'!$G$90:$G$115</c:f>
              <c:numCache>
                <c:formatCode>General</c:formatCode>
                <c:ptCount val="26"/>
                <c:pt idx="0">
                  <c:v>216.6125549012702</c:v>
                </c:pt>
                <c:pt idx="1">
                  <c:v>205.9728425784971</c:v>
                </c:pt>
                <c:pt idx="2">
                  <c:v>195.6378400446254</c:v>
                </c:pt>
                <c:pt idx="3">
                  <c:v>185.6059387603503</c:v>
                </c:pt>
                <c:pt idx="4">
                  <c:v>175.8754593555248</c:v>
                </c:pt>
                <c:pt idx="5">
                  <c:v>166.4446486624368</c:v>
                </c:pt>
                <c:pt idx="6">
                  <c:v>157.3116766010982</c:v>
                </c:pt>
                <c:pt idx="7">
                  <c:v>148.4746329077415</c:v>
                </c:pt>
                <c:pt idx="8">
                  <c:v>139.9315236970904</c:v>
                </c:pt>
                <c:pt idx="9">
                  <c:v>131.6802678483083</c:v>
                </c:pt>
                <c:pt idx="10">
                  <c:v>123.7186932038122</c:v>
                </c:pt>
                <c:pt idx="11">
                  <c:v>116.0445325693527</c:v>
                </c:pt>
                <c:pt idx="12">
                  <c:v>108.6554195029187</c:v>
                </c:pt>
                <c:pt idx="13">
                  <c:v>101.5488838791156</c:v>
                </c:pt>
                <c:pt idx="14">
                  <c:v>94.72234721465458</c:v>
                </c:pt>
                <c:pt idx="15">
                  <c:v>88.1731177395361</c:v>
                </c:pt>
                <c:pt idx="16">
                  <c:v>81.89838519730822</c:v>
                </c:pt>
                <c:pt idx="17">
                  <c:v>75.8952153565309</c:v>
                </c:pt>
                <c:pt idx="18">
                  <c:v>70.16054421416175</c:v>
                </c:pt>
                <c:pt idx="19">
                  <c:v>64.69117187008497</c:v>
                </c:pt>
                <c:pt idx="20">
                  <c:v>59.48375605033193</c:v>
                </c:pt>
                <c:pt idx="21">
                  <c:v>54.5348052547509</c:v>
                </c:pt>
                <c:pt idx="22">
                  <c:v>49.84067150289756</c:v>
                </c:pt>
                <c:pt idx="23">
                  <c:v>45.39754264975917</c:v>
                </c:pt>
                <c:pt idx="24">
                  <c:v>41.20143424056478</c:v>
                </c:pt>
                <c:pt idx="25">
                  <c:v>37.24818087132391</c:v>
                </c:pt>
              </c:numCache>
            </c:numRef>
          </c:xVal>
          <c:yVal>
            <c:numRef>
              <c:f>'5017-620Kv'!$L$90:$L$115</c:f>
              <c:numCache>
                <c:formatCode>General</c:formatCode>
                <c:ptCount val="26"/>
                <c:pt idx="0">
                  <c:v>6.210151501251716</c:v>
                </c:pt>
                <c:pt idx="1">
                  <c:v>6.318937555549559</c:v>
                </c:pt>
                <c:pt idx="2">
                  <c:v>6.431373959279486</c:v>
                </c:pt>
                <c:pt idx="3">
                  <c:v>6.547632087898873</c:v>
                </c:pt>
                <c:pt idx="4">
                  <c:v>6.667892692954307</c:v>
                </c:pt>
                <c:pt idx="5">
                  <c:v>6.792346343665289</c:v>
                </c:pt>
                <c:pt idx="6">
                  <c:v>6.921193852934766</c:v>
                </c:pt>
                <c:pt idx="7">
                  <c:v>7.054646674501435</c:v>
                </c:pt>
                <c:pt idx="8">
                  <c:v>7.192927253767976</c:v>
                </c:pt>
                <c:pt idx="9">
                  <c:v>7.336269309478192</c:v>
                </c:pt>
                <c:pt idx="10">
                  <c:v>7.484918016543835</c:v>
                </c:pt>
                <c:pt idx="11">
                  <c:v>7.639130051508878</c:v>
                </c:pt>
                <c:pt idx="12">
                  <c:v>7.799173450829734</c:v>
                </c:pt>
                <c:pt idx="13">
                  <c:v>7.965327217622987</c:v>
                </c:pt>
                <c:pt idx="14">
                  <c:v>8.137880593857996</c:v>
                </c:pt>
                <c:pt idx="15">
                  <c:v>8.317131890927036</c:v>
                </c:pt>
                <c:pt idx="16">
                  <c:v>8.503386740538591</c:v>
                </c:pt>
                <c:pt idx="17">
                  <c:v>8.69695558787435</c:v>
                </c:pt>
                <c:pt idx="18">
                  <c:v>8.898150197246371</c:v>
                </c:pt>
                <c:pt idx="19">
                  <c:v>9.107278873557185</c:v>
                </c:pt>
                <c:pt idx="20">
                  <c:v>9.324640016120973</c:v>
                </c:pt>
                <c:pt idx="21">
                  <c:v>9.55051350884457</c:v>
                </c:pt>
                <c:pt idx="22">
                  <c:v>9.785149304597837</c:v>
                </c:pt>
                <c:pt idx="23">
                  <c:v>10.02875237169281</c:v>
                </c:pt>
                <c:pt idx="24">
                  <c:v>10.28146292367188</c:v>
                </c:pt>
                <c:pt idx="25">
                  <c:v>10.54333053336016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'5017-620Kv'!$G$127:$G$151</c:f>
              <c:numCache>
                <c:formatCode>General</c:formatCode>
                <c:ptCount val="25"/>
                <c:pt idx="0">
                  <c:v>240.8548785391607</c:v>
                </c:pt>
                <c:pt idx="1">
                  <c:v>219.0101849846032</c:v>
                </c:pt>
                <c:pt idx="2">
                  <c:v>198.3530408926197</c:v>
                </c:pt>
                <c:pt idx="3">
                  <c:v>188.4655786890899</c:v>
                </c:pt>
                <c:pt idx="4">
                  <c:v>178.8698110484502</c:v>
                </c:pt>
                <c:pt idx="5">
                  <c:v>169.5638702067506</c:v>
                </c:pt>
                <c:pt idx="6">
                  <c:v>160.5458183595873</c:v>
                </c:pt>
                <c:pt idx="7">
                  <c:v>151.8136450052697</c:v>
                </c:pt>
                <c:pt idx="8">
                  <c:v>143.3652641669058</c:v>
                </c:pt>
                <c:pt idx="9">
                  <c:v>135.1985114867892</c:v>
                </c:pt>
                <c:pt idx="10">
                  <c:v>127.3111411860699</c:v>
                </c:pt>
                <c:pt idx="11">
                  <c:v>119.7008228822187</c:v>
                </c:pt>
                <c:pt idx="12">
                  <c:v>112.3651382563248</c:v>
                </c:pt>
                <c:pt idx="13">
                  <c:v>105.3015775617135</c:v>
                </c:pt>
                <c:pt idx="14">
                  <c:v>98.50753596482975</c:v>
                </c:pt>
                <c:pt idx="15">
                  <c:v>91.98030970871993</c:v>
                </c:pt>
                <c:pt idx="16">
                  <c:v>85.71709208877098</c:v>
                </c:pt>
                <c:pt idx="17">
                  <c:v>79.7149692296768</c:v>
                </c:pt>
                <c:pt idx="18">
                  <c:v>73.9709156518345</c:v>
                </c:pt>
                <c:pt idx="19">
                  <c:v>68.48178961453412</c:v>
                </c:pt>
                <c:pt idx="20">
                  <c:v>63.2443282224308</c:v>
                </c:pt>
                <c:pt idx="21">
                  <c:v>58.25514228081206</c:v>
                </c:pt>
                <c:pt idx="22">
                  <c:v>53.510710884135</c:v>
                </c:pt>
                <c:pt idx="23">
                  <c:v>49.00737572116117</c:v>
                </c:pt>
                <c:pt idx="24">
                  <c:v>44.74133507881923</c:v>
                </c:pt>
              </c:numCache>
            </c:numRef>
          </c:xVal>
          <c:yVal>
            <c:numRef>
              <c:f>'5017-620Kv'!$L$127:$L$151</c:f>
              <c:numCache>
                <c:formatCode>General</c:formatCode>
                <c:ptCount val="25"/>
                <c:pt idx="0">
                  <c:v>5.546289152707052</c:v>
                </c:pt>
                <c:pt idx="1">
                  <c:v>5.729578333097888</c:v>
                </c:pt>
                <c:pt idx="2">
                  <c:v>5.924606902920789</c:v>
                </c:pt>
                <c:pt idx="3">
                  <c:v>6.02684961127157</c:v>
                </c:pt>
                <c:pt idx="4">
                  <c:v>6.132431824227309</c:v>
                </c:pt>
                <c:pt idx="5">
                  <c:v>6.24150272190852</c:v>
                </c:pt>
                <c:pt idx="6">
                  <c:v>6.354218786612074</c:v>
                </c:pt>
                <c:pt idx="7">
                  <c:v>6.470744009980843</c:v>
                </c:pt>
                <c:pt idx="8">
                  <c:v>6.591250054268261</c:v>
                </c:pt>
                <c:pt idx="9">
                  <c:v>6.71591635014498</c:v>
                </c:pt>
                <c:pt idx="10">
                  <c:v>6.844930108702589</c:v>
                </c:pt>
                <c:pt idx="11">
                  <c:v>6.978486219266537</c:v>
                </c:pt>
                <c:pt idx="12">
                  <c:v>7.116786996998765</c:v>
                </c:pt>
                <c:pt idx="13">
                  <c:v>7.2600417346297</c:v>
                </c:pt>
                <c:pt idx="14">
                  <c:v>7.408466000459902</c:v>
                </c:pt>
                <c:pt idx="15">
                  <c:v>7.56228060932388</c:v>
                </c:pt>
                <c:pt idx="16">
                  <c:v>7.721710173623645</c:v>
                </c:pt>
                <c:pt idx="17">
                  <c:v>7.88698111667409</c:v>
                </c:pt>
                <c:pt idx="18">
                  <c:v>8.058318999001267</c:v>
                </c:pt>
                <c:pt idx="19">
                  <c:v>8.23594496802846</c:v>
                </c:pt>
                <c:pt idx="20">
                  <c:v>8.420071090372812</c:v>
                </c:pt>
                <c:pt idx="21">
                  <c:v>8.610894260700708</c:v>
                </c:pt>
                <c:pt idx="22">
                  <c:v>8.808588297839795</c:v>
                </c:pt>
                <c:pt idx="23">
                  <c:v>9.013293732659074</c:v>
                </c:pt>
                <c:pt idx="24">
                  <c:v>9.22510465682046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'5017-620Kv'!$G$168:$G$179</c:f>
              <c:numCache>
                <c:formatCode>General</c:formatCode>
                <c:ptCount val="12"/>
                <c:pt idx="0">
                  <c:v>187.4425854595157</c:v>
                </c:pt>
                <c:pt idx="1">
                  <c:v>183.2442951160842</c:v>
                </c:pt>
                <c:pt idx="2">
                  <c:v>163.0344586088999</c:v>
                </c:pt>
                <c:pt idx="3">
                  <c:v>144.1208421217936</c:v>
                </c:pt>
                <c:pt idx="4">
                  <c:v>126.4934011113506</c:v>
                </c:pt>
                <c:pt idx="5">
                  <c:v>110.1404029601006</c:v>
                </c:pt>
                <c:pt idx="6">
                  <c:v>95.0482059364158</c:v>
                </c:pt>
                <c:pt idx="7">
                  <c:v>81.20100391683311</c:v>
                </c:pt>
                <c:pt idx="8">
                  <c:v>68.58053045898352</c:v>
                </c:pt>
                <c:pt idx="9">
                  <c:v>57.16571437691338</c:v>
                </c:pt>
                <c:pt idx="10">
                  <c:v>46.93227715454723</c:v>
                </c:pt>
                <c:pt idx="11">
                  <c:v>37.85226022041862</c:v>
                </c:pt>
              </c:numCache>
            </c:numRef>
          </c:xVal>
          <c:yVal>
            <c:numRef>
              <c:f>'5017-620Kv'!$L$168:$L$179</c:f>
              <c:numCache>
                <c:formatCode>General</c:formatCode>
                <c:ptCount val="12"/>
                <c:pt idx="0">
                  <c:v>6.549679819769681</c:v>
                </c:pt>
                <c:pt idx="1">
                  <c:v>6.603561677111424</c:v>
                </c:pt>
                <c:pt idx="2">
                  <c:v>6.886135166338168</c:v>
                </c:pt>
                <c:pt idx="3">
                  <c:v>7.19254880576834</c:v>
                </c:pt>
                <c:pt idx="4">
                  <c:v>7.525690891940076</c:v>
                </c:pt>
                <c:pt idx="5">
                  <c:v>7.888863648721413</c:v>
                </c:pt>
                <c:pt idx="6">
                  <c:v>8.285831137147217</c:v>
                </c:pt>
                <c:pt idx="7">
                  <c:v>8.720856488348522</c:v>
                </c:pt>
                <c:pt idx="8">
                  <c:v>9.198710640915358</c:v>
                </c:pt>
                <c:pt idx="9">
                  <c:v>9.724618229472684</c:v>
                </c:pt>
                <c:pt idx="10">
                  <c:v>10.30407509730638</c:v>
                </c:pt>
                <c:pt idx="11">
                  <c:v>10.94241267107649</c:v>
                </c:pt>
              </c:numCache>
            </c:numRef>
          </c:yVal>
          <c:smooth val="1"/>
        </c:ser>
        <c:ser>
          <c:idx val="4"/>
          <c:order val="4"/>
          <c:tx>
            <c:v>12x4,5 HK</c:v>
          </c:tx>
          <c:xVal>
            <c:numRef>
              <c:f>'5017-620Kv'!$G$192:$G$200</c:f>
              <c:numCache>
                <c:formatCode>General</c:formatCode>
                <c:ptCount val="9"/>
                <c:pt idx="0">
                  <c:v>250.7553387805847</c:v>
                </c:pt>
                <c:pt idx="1">
                  <c:v>210.6020193017668</c:v>
                </c:pt>
                <c:pt idx="2">
                  <c:v>174.5583313162451</c:v>
                </c:pt>
                <c:pt idx="3">
                  <c:v>142.4970228680866</c:v>
                </c:pt>
                <c:pt idx="4">
                  <c:v>114.2785113246884</c:v>
                </c:pt>
                <c:pt idx="5">
                  <c:v>85.27195524039404</c:v>
                </c:pt>
                <c:pt idx="6">
                  <c:v>68.74166305891576</c:v>
                </c:pt>
                <c:pt idx="7">
                  <c:v>51.06949454772091</c:v>
                </c:pt>
                <c:pt idx="8">
                  <c:v>43.42125846385475</c:v>
                </c:pt>
              </c:numCache>
            </c:numRef>
          </c:xVal>
          <c:yVal>
            <c:numRef>
              <c:f>'5017-620Kv'!$L$192:$L$200</c:f>
              <c:numCache>
                <c:formatCode>General</c:formatCode>
                <c:ptCount val="9"/>
                <c:pt idx="0">
                  <c:v>5.67748907569475</c:v>
                </c:pt>
                <c:pt idx="1">
                  <c:v>6.006134848819528</c:v>
                </c:pt>
                <c:pt idx="2">
                  <c:v>6.37147930383916</c:v>
                </c:pt>
                <c:pt idx="3">
                  <c:v>6.778992779416184</c:v>
                </c:pt>
                <c:pt idx="4">
                  <c:v>7.234821273171887</c:v>
                </c:pt>
                <c:pt idx="5">
                  <c:v>7.854863000202709</c:v>
                </c:pt>
                <c:pt idx="6">
                  <c:v>8.317540720681526</c:v>
                </c:pt>
                <c:pt idx="7">
                  <c:v>8.955296722321584</c:v>
                </c:pt>
                <c:pt idx="8">
                  <c:v>9.298917275037983</c:v>
                </c:pt>
              </c:numCache>
            </c:numRef>
          </c:yVal>
          <c:smooth val="1"/>
        </c:ser>
        <c:axId val="781000408"/>
        <c:axId val="781003560"/>
      </c:scatterChart>
      <c:valAx>
        <c:axId val="781000408"/>
        <c:scaling>
          <c:orientation val="minMax"/>
        </c:scaling>
        <c:axPos val="b"/>
        <c:numFmt formatCode="General" sourceLinked="1"/>
        <c:tickLblPos val="nextTo"/>
        <c:crossAx val="781003560"/>
        <c:crosses val="autoZero"/>
        <c:crossBetween val="midCat"/>
      </c:valAx>
      <c:valAx>
        <c:axId val="781003560"/>
        <c:scaling>
          <c:orientation val="minMax"/>
        </c:scaling>
        <c:axPos val="l"/>
        <c:majorGridlines/>
        <c:numFmt formatCode="General" sourceLinked="1"/>
        <c:tickLblPos val="nextTo"/>
        <c:crossAx val="78100040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Traction/courant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'5017-620Kv'!$E$50:$E$76</c:f>
              <c:numCache>
                <c:formatCode>General</c:formatCode>
                <c:ptCount val="27"/>
                <c:pt idx="0">
                  <c:v>19.23211899241016</c:v>
                </c:pt>
                <c:pt idx="1">
                  <c:v>18.58833534638044</c:v>
                </c:pt>
                <c:pt idx="2">
                  <c:v>17.53564028106529</c:v>
                </c:pt>
                <c:pt idx="3">
                  <c:v>16.50876843698881</c:v>
                </c:pt>
                <c:pt idx="4">
                  <c:v>16.0051927525889</c:v>
                </c:pt>
                <c:pt idx="5">
                  <c:v>15.50828730533719</c:v>
                </c:pt>
                <c:pt idx="6">
                  <c:v>15.01812633585285</c:v>
                </c:pt>
                <c:pt idx="7">
                  <c:v>14.53478547223962</c:v>
                </c:pt>
                <c:pt idx="8">
                  <c:v>14.05834176666279</c:v>
                </c:pt>
                <c:pt idx="9">
                  <c:v>13.58887373317497</c:v>
                </c:pt>
                <c:pt idx="10">
                  <c:v>13.12646138684341</c:v>
                </c:pt>
                <c:pt idx="11">
                  <c:v>12.67118628423483</c:v>
                </c:pt>
                <c:pt idx="12">
                  <c:v>12.2231315653139</c:v>
                </c:pt>
                <c:pt idx="13">
                  <c:v>11.78238199681902</c:v>
                </c:pt>
                <c:pt idx="14">
                  <c:v>11.34902401717655</c:v>
                </c:pt>
                <c:pt idx="15">
                  <c:v>10.92314578302241</c:v>
                </c:pt>
                <c:pt idx="16">
                  <c:v>10.50483721740186</c:v>
                </c:pt>
                <c:pt idx="17">
                  <c:v>10.0941900597219</c:v>
                </c:pt>
                <c:pt idx="18">
                  <c:v>9.69129791753439</c:v>
                </c:pt>
                <c:pt idx="19">
                  <c:v>9.296256320231985</c:v>
                </c:pt>
                <c:pt idx="20">
                  <c:v>8.90916277474732</c:v>
                </c:pt>
                <c:pt idx="21">
                  <c:v>8.530116823342316</c:v>
                </c:pt>
                <c:pt idx="22">
                  <c:v>8.159220103588831</c:v>
                </c:pt>
                <c:pt idx="23">
                  <c:v>7.796576410640362</c:v>
                </c:pt>
                <c:pt idx="24">
                  <c:v>7.442291761904497</c:v>
                </c:pt>
                <c:pt idx="25">
                  <c:v>7.096474464228065</c:v>
                </c:pt>
                <c:pt idx="26">
                  <c:v>6.759235183717877</c:v>
                </c:pt>
              </c:numCache>
            </c:numRef>
          </c:xVal>
          <c:yVal>
            <c:numRef>
              <c:f>'5017-620Kv'!$K$50:$K$76</c:f>
              <c:numCache>
                <c:formatCode>General</c:formatCode>
                <c:ptCount val="27"/>
                <c:pt idx="0">
                  <c:v>1805.863802420961</c:v>
                </c:pt>
                <c:pt idx="1">
                  <c:v>1741.031219977824</c:v>
                </c:pt>
                <c:pt idx="2">
                  <c:v>1635.01899051155</c:v>
                </c:pt>
                <c:pt idx="3">
                  <c:v>1531.607302594019</c:v>
                </c:pt>
                <c:pt idx="4">
                  <c:v>1480.894439232919</c:v>
                </c:pt>
                <c:pt idx="5">
                  <c:v>1430.853305734003</c:v>
                </c:pt>
                <c:pt idx="6">
                  <c:v>1381.491378539223</c:v>
                </c:pt>
                <c:pt idx="7">
                  <c:v>1332.816273817946</c:v>
                </c:pt>
                <c:pt idx="8">
                  <c:v>1284.835751150406</c:v>
                </c:pt>
                <c:pt idx="9">
                  <c:v>1237.55771733699</c:v>
                </c:pt>
                <c:pt idx="10">
                  <c:v>1190.990230338604</c:v>
                </c:pt>
                <c:pt idx="11">
                  <c:v>1145.141503353661</c:v>
                </c:pt>
                <c:pt idx="12">
                  <c:v>1100.019909037584</c:v>
                </c:pt>
                <c:pt idx="13">
                  <c:v>1055.633983870883</c:v>
                </c:pt>
                <c:pt idx="14">
                  <c:v>1011.992432682317</c:v>
                </c:pt>
                <c:pt idx="15">
                  <c:v>969.104133333893</c:v>
                </c:pt>
                <c:pt idx="16">
                  <c:v>926.9781415748386</c:v>
                </c:pt>
                <c:pt idx="17">
                  <c:v>885.6236960720532</c:v>
                </c:pt>
                <c:pt idx="18">
                  <c:v>845.0502236249579</c:v>
                </c:pt>
                <c:pt idx="19">
                  <c:v>805.267344573086</c:v>
                </c:pt>
                <c:pt idx="20">
                  <c:v>766.2848784051192</c:v>
                </c:pt>
                <c:pt idx="21">
                  <c:v>728.1128495787298</c:v>
                </c:pt>
                <c:pt idx="22">
                  <c:v>690.761493560902</c:v>
                </c:pt>
                <c:pt idx="23">
                  <c:v>654.2412630990729</c:v>
                </c:pt>
                <c:pt idx="24">
                  <c:v>618.5628347339494</c:v>
                </c:pt>
                <c:pt idx="25">
                  <c:v>583.7371155655007</c:v>
                </c:pt>
                <c:pt idx="26">
                  <c:v>549.775250284231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'5017-620Kv'!$E$90:$E$115</c:f>
              <c:numCache>
                <c:formatCode>General</c:formatCode>
                <c:ptCount val="26"/>
                <c:pt idx="0">
                  <c:v>21.60807121547155</c:v>
                </c:pt>
                <c:pt idx="1">
                  <c:v>20.93750172725504</c:v>
                </c:pt>
                <c:pt idx="2">
                  <c:v>20.27498759770513</c:v>
                </c:pt>
                <c:pt idx="3">
                  <c:v>19.62064839236096</c:v>
                </c:pt>
                <c:pt idx="4">
                  <c:v>18.97460666420874</c:v>
                </c:pt>
                <c:pt idx="5">
                  <c:v>18.33698805923978</c:v>
                </c:pt>
                <c:pt idx="6">
                  <c:v>17.7079214268524</c:v>
                </c:pt>
                <c:pt idx="7">
                  <c:v>17.08753893537311</c:v>
                </c:pt>
                <c:pt idx="8">
                  <c:v>16.4759761929897</c:v>
                </c:pt>
                <c:pt idx="9">
                  <c:v>15.87337237440938</c:v>
                </c:pt>
                <c:pt idx="10">
                  <c:v>15.27987035357708</c:v>
                </c:pt>
                <c:pt idx="11">
                  <c:v>14.69561684281184</c:v>
                </c:pt>
                <c:pt idx="12">
                  <c:v>14.12076253874448</c:v>
                </c:pt>
                <c:pt idx="13">
                  <c:v>13.55546227546851</c:v>
                </c:pt>
                <c:pt idx="14">
                  <c:v>12.99987518534294</c:v>
                </c:pt>
                <c:pt idx="15">
                  <c:v>12.4541648679218</c:v>
                </c:pt>
                <c:pt idx="16">
                  <c:v>11.91849956751599</c:v>
                </c:pt>
                <c:pt idx="17">
                  <c:v>11.39305235993447</c:v>
                </c:pt>
                <c:pt idx="18">
                  <c:v>10.87800134899006</c:v>
                </c:pt>
                <c:pt idx="19">
                  <c:v>10.37352987340267</c:v>
                </c:pt>
                <c:pt idx="20">
                  <c:v>9.87982672477899</c:v>
                </c:pt>
                <c:pt idx="21">
                  <c:v>9.397086377403436</c:v>
                </c:pt>
                <c:pt idx="22">
                  <c:v>8.92550923063118</c:v>
                </c:pt>
                <c:pt idx="23">
                  <c:v>8.465301864738396</c:v>
                </c:pt>
                <c:pt idx="24">
                  <c:v>8.016677311155342</c:v>
                </c:pt>
                <c:pt idx="25">
                  <c:v>7.579855338081756</c:v>
                </c:pt>
              </c:numCache>
            </c:numRef>
          </c:xVal>
          <c:yVal>
            <c:numRef>
              <c:f>'5017-620Kv'!$K$90:$K$115</c:f>
              <c:numCache>
                <c:formatCode>General</c:formatCode>
                <c:ptCount val="26"/>
                <c:pt idx="0">
                  <c:v>1744.462146672891</c:v>
                </c:pt>
                <c:pt idx="1">
                  <c:v>1686.860266292629</c:v>
                </c:pt>
                <c:pt idx="2">
                  <c:v>1629.950340757442</c:v>
                </c:pt>
                <c:pt idx="3">
                  <c:v>1573.742640740249</c:v>
                </c:pt>
                <c:pt idx="4">
                  <c:v>1518.247693535514</c:v>
                </c:pt>
                <c:pt idx="5">
                  <c:v>1463.476292126634</c:v>
                </c:pt>
                <c:pt idx="6">
                  <c:v>1409.439504669501</c:v>
                </c:pt>
                <c:pt idx="7">
                  <c:v>1356.148684415742</c:v>
                </c:pt>
                <c:pt idx="8">
                  <c:v>1303.615480100867</c:v>
                </c:pt>
                <c:pt idx="9">
                  <c:v>1251.851846824209</c:v>
                </c:pt>
                <c:pt idx="10">
                  <c:v>1200.870057449403</c:v>
                </c:pt>
                <c:pt idx="11">
                  <c:v>1150.682714556185</c:v>
                </c:pt>
                <c:pt idx="12">
                  <c:v>1101.302762976471</c:v>
                </c:pt>
                <c:pt idx="13">
                  <c:v>1052.743502949947</c:v>
                </c:pt>
                <c:pt idx="14">
                  <c:v>1005.018603937095</c:v>
                </c:pt>
                <c:pt idx="15">
                  <c:v>958.1421191301637</c:v>
                </c:pt>
                <c:pt idx="16">
                  <c:v>912.1285007057734</c:v>
                </c:pt>
                <c:pt idx="17">
                  <c:v>866.9926158659248</c:v>
                </c:pt>
                <c:pt idx="18">
                  <c:v>822.749763717879</c:v>
                </c:pt>
                <c:pt idx="19">
                  <c:v>779.4156930470993</c:v>
                </c:pt>
                <c:pt idx="20">
                  <c:v>737.0066210417249</c:v>
                </c:pt>
                <c:pt idx="21">
                  <c:v>695.5392530315738</c:v>
                </c:pt>
                <c:pt idx="22">
                  <c:v>655.030803309692</c:v>
                </c:pt>
                <c:pt idx="23">
                  <c:v>615.4990171099079</c:v>
                </c:pt>
                <c:pt idx="24">
                  <c:v>576.9621938197967</c:v>
                </c:pt>
                <c:pt idx="25">
                  <c:v>539.4392115150399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'5017-620Kv'!$E$127:$E$151</c:f>
              <c:numCache>
                <c:formatCode>General</c:formatCode>
                <c:ptCount val="25"/>
                <c:pt idx="0">
                  <c:v>22.02536619989809</c:v>
                </c:pt>
                <c:pt idx="1">
                  <c:v>20.75247157192734</c:v>
                </c:pt>
                <c:pt idx="2">
                  <c:v>19.50921218336617</c:v>
                </c:pt>
                <c:pt idx="3">
                  <c:v>18.89894400653078</c:v>
                </c:pt>
                <c:pt idx="4">
                  <c:v>18.29638708713446</c:v>
                </c:pt>
                <c:pt idx="5">
                  <c:v>17.7016470375065</c:v>
                </c:pt>
                <c:pt idx="6">
                  <c:v>17.11483190296972</c:v>
                </c:pt>
                <c:pt idx="7">
                  <c:v>16.53605224103944</c:v>
                </c:pt>
                <c:pt idx="8">
                  <c:v>15.96542120396906</c:v>
                </c:pt>
                <c:pt idx="9">
                  <c:v>15.40305462481503</c:v>
                </c:pt>
                <c:pt idx="10">
                  <c:v>14.84907110720764</c:v>
                </c:pt>
                <c:pt idx="11">
                  <c:v>14.30359211902393</c:v>
                </c:pt>
                <c:pt idx="12">
                  <c:v>13.76674209017311</c:v>
                </c:pt>
                <c:pt idx="13">
                  <c:v>13.23864851471561</c:v>
                </c:pt>
                <c:pt idx="14">
                  <c:v>12.71944205755404</c:v>
                </c:pt>
                <c:pt idx="15">
                  <c:v>12.20925666594902</c:v>
                </c:pt>
                <c:pt idx="16">
                  <c:v>11.70822968612808</c:v>
                </c:pt>
                <c:pt idx="17">
                  <c:v>11.21650198527553</c:v>
                </c:pt>
                <c:pt idx="18">
                  <c:v>10.73421807921053</c:v>
                </c:pt>
                <c:pt idx="19">
                  <c:v>10.26152626607956</c:v>
                </c:pt>
                <c:pt idx="20">
                  <c:v>9.798578766414332</c:v>
                </c:pt>
                <c:pt idx="21">
                  <c:v>9.34553186992908</c:v>
                </c:pt>
                <c:pt idx="22">
                  <c:v>8.90254608945846</c:v>
                </c:pt>
                <c:pt idx="23">
                  <c:v>8.469786322463445</c:v>
                </c:pt>
                <c:pt idx="24">
                  <c:v>8.047422020568126</c:v>
                </c:pt>
              </c:numCache>
            </c:numRef>
          </c:xVal>
          <c:yVal>
            <c:numRef>
              <c:f>'5017-620Kv'!$K$127:$K$151</c:f>
              <c:numCache>
                <c:formatCode>General</c:formatCode>
                <c:ptCount val="25"/>
                <c:pt idx="0">
                  <c:v>1710.226694944534</c:v>
                </c:pt>
                <c:pt idx="1">
                  <c:v>1605.189304936054</c:v>
                </c:pt>
                <c:pt idx="2">
                  <c:v>1502.597371237528</c:v>
                </c:pt>
                <c:pt idx="3">
                  <c:v>1452.23894007484</c:v>
                </c:pt>
                <c:pt idx="4">
                  <c:v>1402.516830519062</c:v>
                </c:pt>
                <c:pt idx="5">
                  <c:v>1353.439757544044</c:v>
                </c:pt>
                <c:pt idx="6">
                  <c:v>1305.016636890695</c:v>
                </c:pt>
                <c:pt idx="7">
                  <c:v>1257.256591602376</c:v>
                </c:pt>
                <c:pt idx="8">
                  <c:v>1210.168958836382</c:v>
                </c:pt>
                <c:pt idx="9">
                  <c:v>1163.763296965929</c:v>
                </c:pt>
                <c:pt idx="10">
                  <c:v>1118.049392987904</c:v>
                </c:pt>
                <c:pt idx="11">
                  <c:v>1073.037270252643</c:v>
                </c:pt>
                <c:pt idx="12">
                  <c:v>1028.737196532986</c:v>
                </c:pt>
                <c:pt idx="13">
                  <c:v>985.1596924510206</c:v>
                </c:pt>
                <c:pt idx="14">
                  <c:v>942.3155402820888</c:v>
                </c:pt>
                <c:pt idx="15">
                  <c:v>900.2157931568544</c:v>
                </c:pt>
                <c:pt idx="16">
                  <c:v>858.8717846837267</c:v>
                </c:pt>
                <c:pt idx="17">
                  <c:v>818.2951390153011</c:v>
                </c:pt>
                <c:pt idx="18">
                  <c:v>778.497781384126</c:v>
                </c:pt>
                <c:pt idx="19">
                  <c:v>739.491949134836</c:v>
                </c:pt>
                <c:pt idx="20">
                  <c:v>701.2902032815226</c:v>
                </c:pt>
                <c:pt idx="21">
                  <c:v>663.905440621235</c:v>
                </c:pt>
                <c:pt idx="22">
                  <c:v>627.350906436666</c:v>
                </c:pt>
                <c:pt idx="23">
                  <c:v>591.6402078234652</c:v>
                </c:pt>
                <c:pt idx="24">
                  <c:v>556.7873276800691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'5017-620Kv'!$E$168:$E$179</c:f>
              <c:numCache>
                <c:formatCode>General</c:formatCode>
                <c:ptCount val="12"/>
                <c:pt idx="0">
                  <c:v>23.07588920509411</c:v>
                </c:pt>
                <c:pt idx="1">
                  <c:v>22.74950937011462</c:v>
                </c:pt>
                <c:pt idx="2">
                  <c:v>21.14190311089231</c:v>
                </c:pt>
                <c:pt idx="3">
                  <c:v>19.57601818845067</c:v>
                </c:pt>
                <c:pt idx="4">
                  <c:v>18.05363183361675</c:v>
                </c:pt>
                <c:pt idx="5">
                  <c:v>16.57665115545171</c:v>
                </c:pt>
                <c:pt idx="6">
                  <c:v>15.14712683084328</c:v>
                </c:pt>
                <c:pt idx="7">
                  <c:v>13.76726870712588</c:v>
                </c:pt>
                <c:pt idx="8">
                  <c:v>12.43946365498398</c:v>
                </c:pt>
                <c:pt idx="9">
                  <c:v>11.16629608149594</c:v>
                </c:pt>
                <c:pt idx="10">
                  <c:v>9.95057160443406</c:v>
                </c:pt>
                <c:pt idx="11">
                  <c:v>8.795344504474853</c:v>
                </c:pt>
              </c:numCache>
            </c:numRef>
          </c:xVal>
          <c:yVal>
            <c:numRef>
              <c:f>'5017-620Kv'!$K$168:$K$179</c:f>
              <c:numCache>
                <c:formatCode>General</c:formatCode>
                <c:ptCount val="12"/>
                <c:pt idx="0">
                  <c:v>1677.65051293329</c:v>
                </c:pt>
                <c:pt idx="1">
                  <c:v>1652.505670745338</c:v>
                </c:pt>
                <c:pt idx="2">
                  <c:v>1528.653026199914</c:v>
                </c:pt>
                <c:pt idx="3">
                  <c:v>1408.014662430401</c:v>
                </c:pt>
                <c:pt idx="4">
                  <c:v>1290.727500238545</c:v>
                </c:pt>
                <c:pt idx="5">
                  <c:v>1176.93846646001</c:v>
                </c:pt>
                <c:pt idx="6">
                  <c:v>1066.805548633214</c:v>
                </c:pt>
                <c:pt idx="7">
                  <c:v>960.4989970510105</c:v>
                </c:pt>
                <c:pt idx="8">
                  <c:v>858.2027001778574</c:v>
                </c:pt>
                <c:pt idx="9">
                  <c:v>760.1157650086335</c:v>
                </c:pt>
                <c:pt idx="10">
                  <c:v>666.4543409758841</c:v>
                </c:pt>
                <c:pt idx="11">
                  <c:v>577.4537349134915</c:v>
                </c:pt>
              </c:numCache>
            </c:numRef>
          </c:yVal>
          <c:smooth val="1"/>
        </c:ser>
        <c:ser>
          <c:idx val="4"/>
          <c:order val="4"/>
          <c:tx>
            <c:v>12x4,5 HK</c:v>
          </c:tx>
          <c:xVal>
            <c:numRef>
              <c:f>'5017-620Kv'!$E$192:$E$200</c:f>
              <c:numCache>
                <c:formatCode>General</c:formatCode>
                <c:ptCount val="9"/>
                <c:pt idx="0">
                  <c:v>19.32293725160179</c:v>
                </c:pt>
                <c:pt idx="1">
                  <c:v>17.34354976784989</c:v>
                </c:pt>
                <c:pt idx="2">
                  <c:v>15.45638937770782</c:v>
                </c:pt>
                <c:pt idx="3">
                  <c:v>13.66505272166454</c:v>
                </c:pt>
                <c:pt idx="4">
                  <c:v>11.97337646898203</c:v>
                </c:pt>
                <c:pt idx="5">
                  <c:v>10.08070916462502</c:v>
                </c:pt>
                <c:pt idx="6">
                  <c:v>8.90569318075504</c:v>
                </c:pt>
                <c:pt idx="7">
                  <c:v>7.538782110705399</c:v>
                </c:pt>
                <c:pt idx="8">
                  <c:v>6.899213780505453</c:v>
                </c:pt>
              </c:numCache>
            </c:numRef>
          </c:xVal>
          <c:yVal>
            <c:numRef>
              <c:f>'5017-620Kv'!$K$192:$K$200</c:f>
              <c:numCache>
                <c:formatCode>General</c:formatCode>
                <c:ptCount val="9"/>
                <c:pt idx="0">
                  <c:v>1755.292242500869</c:v>
                </c:pt>
                <c:pt idx="1">
                  <c:v>1562.515479943786</c:v>
                </c:pt>
                <c:pt idx="2">
                  <c:v>1378.720910450027</c:v>
                </c:pt>
                <c:pt idx="3">
                  <c:v>1204.25881849657</c:v>
                </c:pt>
                <c:pt idx="4">
                  <c:v>1039.502865473843</c:v>
                </c:pt>
                <c:pt idx="5">
                  <c:v>855.1719658765882</c:v>
                </c:pt>
                <c:pt idx="6">
                  <c:v>740.7346567682582</c:v>
                </c:pt>
                <c:pt idx="7">
                  <c:v>607.60827653667</c:v>
                </c:pt>
                <c:pt idx="8">
                  <c:v>545.3193547656392</c:v>
                </c:pt>
              </c:numCache>
            </c:numRef>
          </c:yVal>
          <c:smooth val="1"/>
        </c:ser>
        <c:axId val="780964040"/>
        <c:axId val="780967192"/>
      </c:scatterChart>
      <c:valAx>
        <c:axId val="780964040"/>
        <c:scaling>
          <c:orientation val="minMax"/>
        </c:scaling>
        <c:axPos val="b"/>
        <c:numFmt formatCode="General" sourceLinked="1"/>
        <c:tickLblPos val="nextTo"/>
        <c:crossAx val="780967192"/>
        <c:crosses val="autoZero"/>
        <c:crossBetween val="midCat"/>
      </c:valAx>
      <c:valAx>
        <c:axId val="780967192"/>
        <c:scaling>
          <c:orientation val="minMax"/>
        </c:scaling>
        <c:axPos val="l"/>
        <c:majorGridlines/>
        <c:numFmt formatCode="General" sourceLinked="1"/>
        <c:tickLblPos val="nextTo"/>
        <c:crossAx val="7809640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rendement Turnigy 5017-620Kv/traction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13x4</c:v>
          </c:tx>
          <c:xVal>
            <c:numRef>
              <c:f>'5017-620Kv'!$K$50:$K$75</c:f>
              <c:numCache>
                <c:formatCode>General</c:formatCode>
                <c:ptCount val="26"/>
                <c:pt idx="0">
                  <c:v>1805.863802420961</c:v>
                </c:pt>
                <c:pt idx="1">
                  <c:v>1741.031219977824</c:v>
                </c:pt>
                <c:pt idx="2">
                  <c:v>1635.01899051155</c:v>
                </c:pt>
                <c:pt idx="3">
                  <c:v>1531.607302594019</c:v>
                </c:pt>
                <c:pt idx="4">
                  <c:v>1480.894439232919</c:v>
                </c:pt>
                <c:pt idx="5">
                  <c:v>1430.853305734003</c:v>
                </c:pt>
                <c:pt idx="6">
                  <c:v>1381.491378539223</c:v>
                </c:pt>
                <c:pt idx="7">
                  <c:v>1332.816273817946</c:v>
                </c:pt>
                <c:pt idx="8">
                  <c:v>1284.835751150406</c:v>
                </c:pt>
                <c:pt idx="9">
                  <c:v>1237.55771733699</c:v>
                </c:pt>
                <c:pt idx="10">
                  <c:v>1190.990230338604</c:v>
                </c:pt>
                <c:pt idx="11">
                  <c:v>1145.141503353661</c:v>
                </c:pt>
                <c:pt idx="12">
                  <c:v>1100.019909037584</c:v>
                </c:pt>
                <c:pt idx="13">
                  <c:v>1055.633983870883</c:v>
                </c:pt>
                <c:pt idx="14">
                  <c:v>1011.992432682317</c:v>
                </c:pt>
                <c:pt idx="15">
                  <c:v>969.104133333893</c:v>
                </c:pt>
                <c:pt idx="16">
                  <c:v>926.9781415748386</c:v>
                </c:pt>
                <c:pt idx="17">
                  <c:v>885.6236960720532</c:v>
                </c:pt>
                <c:pt idx="18">
                  <c:v>845.0502236249579</c:v>
                </c:pt>
                <c:pt idx="19">
                  <c:v>805.267344573086</c:v>
                </c:pt>
                <c:pt idx="20">
                  <c:v>766.2848784051192</c:v>
                </c:pt>
                <c:pt idx="21">
                  <c:v>728.1128495787298</c:v>
                </c:pt>
                <c:pt idx="22">
                  <c:v>690.761493560902</c:v>
                </c:pt>
                <c:pt idx="23">
                  <c:v>654.2412630990729</c:v>
                </c:pt>
                <c:pt idx="24">
                  <c:v>618.5628347339494</c:v>
                </c:pt>
                <c:pt idx="25">
                  <c:v>583.7371155655007</c:v>
                </c:pt>
              </c:numCache>
            </c:numRef>
          </c:xVal>
          <c:yVal>
            <c:numRef>
              <c:f>'5017-620Kv'!$H$50:$H$76</c:f>
              <c:numCache>
                <c:formatCode>General</c:formatCode>
                <c:ptCount val="27"/>
                <c:pt idx="0">
                  <c:v>80.15487408909974</c:v>
                </c:pt>
                <c:pt idx="1">
                  <c:v>80.12953767198378</c:v>
                </c:pt>
                <c:pt idx="2">
                  <c:v>80.0618899700356</c:v>
                </c:pt>
                <c:pt idx="3">
                  <c:v>79.95838209656449</c:v>
                </c:pt>
                <c:pt idx="4">
                  <c:v>79.89151671344402</c:v>
                </c:pt>
                <c:pt idx="5">
                  <c:v>79.81357720022083</c:v>
                </c:pt>
                <c:pt idx="6">
                  <c:v>79.72373373178088</c:v>
                </c:pt>
                <c:pt idx="7">
                  <c:v>79.62108489451963</c:v>
                </c:pt>
                <c:pt idx="8">
                  <c:v>79.5046504958849</c:v>
                </c:pt>
                <c:pt idx="9">
                  <c:v>79.37336355915556</c:v>
                </c:pt>
                <c:pt idx="10">
                  <c:v>79.22606140351034</c:v>
                </c:pt>
                <c:pt idx="11">
                  <c:v>79.0614756969751</c:v>
                </c:pt>
                <c:pt idx="12">
                  <c:v>78.87822135600875</c:v>
                </c:pt>
                <c:pt idx="13">
                  <c:v>78.67478415025488</c:v>
                </c:pt>
                <c:pt idx="14">
                  <c:v>78.4495068543622</c:v>
                </c:pt>
                <c:pt idx="15">
                  <c:v>78.20057377085355</c:v>
                </c:pt>
                <c:pt idx="16">
                  <c:v>77.92599342902892</c:v>
                </c:pt>
                <c:pt idx="17">
                  <c:v>77.62357924523715</c:v>
                </c:pt>
                <c:pt idx="18">
                  <c:v>77.29092791024136</c:v>
                </c:pt>
                <c:pt idx="19">
                  <c:v>76.92539525093718</c:v>
                </c:pt>
                <c:pt idx="20">
                  <c:v>76.52406929804756</c:v>
                </c:pt>
                <c:pt idx="21">
                  <c:v>76.08374028112182</c:v>
                </c:pt>
                <c:pt idx="22">
                  <c:v>75.60086727089373</c:v>
                </c:pt>
                <c:pt idx="23">
                  <c:v>75.07154120212373</c:v>
                </c:pt>
                <c:pt idx="24">
                  <c:v>74.49144404507947</c:v>
                </c:pt>
                <c:pt idx="25">
                  <c:v>73.85580396160747</c:v>
                </c:pt>
                <c:pt idx="26">
                  <c:v>73.15934639754335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xVal>
            <c:numRef>
              <c:f>'5017-620Kv'!$K$90:$K$115</c:f>
              <c:numCache>
                <c:formatCode>General</c:formatCode>
                <c:ptCount val="26"/>
                <c:pt idx="0">
                  <c:v>1744.462146672891</c:v>
                </c:pt>
                <c:pt idx="1">
                  <c:v>1686.860266292629</c:v>
                </c:pt>
                <c:pt idx="2">
                  <c:v>1629.950340757442</c:v>
                </c:pt>
                <c:pt idx="3">
                  <c:v>1573.742640740249</c:v>
                </c:pt>
                <c:pt idx="4">
                  <c:v>1518.247693535514</c:v>
                </c:pt>
                <c:pt idx="5">
                  <c:v>1463.476292126634</c:v>
                </c:pt>
                <c:pt idx="6">
                  <c:v>1409.439504669501</c:v>
                </c:pt>
                <c:pt idx="7">
                  <c:v>1356.148684415742</c:v>
                </c:pt>
                <c:pt idx="8">
                  <c:v>1303.615480100867</c:v>
                </c:pt>
                <c:pt idx="9">
                  <c:v>1251.851846824209</c:v>
                </c:pt>
                <c:pt idx="10">
                  <c:v>1200.870057449403</c:v>
                </c:pt>
                <c:pt idx="11">
                  <c:v>1150.682714556185</c:v>
                </c:pt>
                <c:pt idx="12">
                  <c:v>1101.302762976471</c:v>
                </c:pt>
                <c:pt idx="13">
                  <c:v>1052.743502949947</c:v>
                </c:pt>
                <c:pt idx="14">
                  <c:v>1005.018603937095</c:v>
                </c:pt>
                <c:pt idx="15">
                  <c:v>958.1421191301637</c:v>
                </c:pt>
                <c:pt idx="16">
                  <c:v>912.1285007057734</c:v>
                </c:pt>
                <c:pt idx="17">
                  <c:v>866.9926158659248</c:v>
                </c:pt>
                <c:pt idx="18">
                  <c:v>822.749763717879</c:v>
                </c:pt>
                <c:pt idx="19">
                  <c:v>779.4156930470993</c:v>
                </c:pt>
                <c:pt idx="20">
                  <c:v>737.0066210417249</c:v>
                </c:pt>
                <c:pt idx="21">
                  <c:v>695.5392530315738</c:v>
                </c:pt>
                <c:pt idx="22">
                  <c:v>655.030803309692</c:v>
                </c:pt>
                <c:pt idx="23">
                  <c:v>615.4990171099079</c:v>
                </c:pt>
                <c:pt idx="24">
                  <c:v>576.9621938197967</c:v>
                </c:pt>
                <c:pt idx="25">
                  <c:v>539.4392115150399</c:v>
                </c:pt>
              </c:numCache>
            </c:numRef>
          </c:xVal>
          <c:yVal>
            <c:numRef>
              <c:f>'5017-620Kv'!$H$90:$H$115</c:f>
              <c:numCache>
                <c:formatCode>General</c:formatCode>
                <c:ptCount val="26"/>
                <c:pt idx="0">
                  <c:v>77.11240886342574</c:v>
                </c:pt>
                <c:pt idx="1">
                  <c:v>77.15692617818642</c:v>
                </c:pt>
                <c:pt idx="2">
                  <c:v>77.19376955545727</c:v>
                </c:pt>
                <c:pt idx="3">
                  <c:v>77.22224516711485</c:v>
                </c:pt>
                <c:pt idx="4">
                  <c:v>77.24159208671666</c:v>
                </c:pt>
                <c:pt idx="5">
                  <c:v>77.25097474056865</c:v>
                </c:pt>
                <c:pt idx="6">
                  <c:v>77.24947438178212</c:v>
                </c:pt>
                <c:pt idx="7">
                  <c:v>77.23607944520318</c:v>
                </c:pt>
                <c:pt idx="8">
                  <c:v>77.209674618485</c:v>
                </c:pt>
                <c:pt idx="9">
                  <c:v>77.16902843816057</c:v>
                </c:pt>
                <c:pt idx="10">
                  <c:v>77.11277918872503</c:v>
                </c:pt>
                <c:pt idx="11">
                  <c:v>77.03941884672835</c:v>
                </c:pt>
                <c:pt idx="12">
                  <c:v>76.94727476989325</c:v>
                </c:pt>
                <c:pt idx="13">
                  <c:v>76.83448878240318</c:v>
                </c:pt>
                <c:pt idx="14">
                  <c:v>76.69899325078207</c:v>
                </c:pt>
                <c:pt idx="15">
                  <c:v>76.53848367919778</c:v>
                </c:pt>
                <c:pt idx="16">
                  <c:v>76.35038727760968</c:v>
                </c:pt>
                <c:pt idx="17">
                  <c:v>76.13182687013592</c:v>
                </c:pt>
                <c:pt idx="18">
                  <c:v>75.87957941392108</c:v>
                </c:pt>
                <c:pt idx="19">
                  <c:v>75.59002829090833</c:v>
                </c:pt>
                <c:pt idx="20">
                  <c:v>75.25910841779282</c:v>
                </c:pt>
                <c:pt idx="21">
                  <c:v>74.88224309664707</c:v>
                </c:pt>
                <c:pt idx="22">
                  <c:v>74.45427140724683</c:v>
                </c:pt>
                <c:pt idx="23">
                  <c:v>73.96936483433887</c:v>
                </c:pt>
                <c:pt idx="24">
                  <c:v>73.42093174978098</c:v>
                </c:pt>
                <c:pt idx="25">
                  <c:v>72.80150836454385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xVal>
            <c:numRef>
              <c:f>'5017-620Kv'!$K$127:$K$151</c:f>
              <c:numCache>
                <c:formatCode>General</c:formatCode>
                <c:ptCount val="25"/>
                <c:pt idx="0">
                  <c:v>1710.226694944534</c:v>
                </c:pt>
                <c:pt idx="1">
                  <c:v>1605.189304936054</c:v>
                </c:pt>
                <c:pt idx="2">
                  <c:v>1502.597371237528</c:v>
                </c:pt>
                <c:pt idx="3">
                  <c:v>1452.23894007484</c:v>
                </c:pt>
                <c:pt idx="4">
                  <c:v>1402.516830519062</c:v>
                </c:pt>
                <c:pt idx="5">
                  <c:v>1353.439757544044</c:v>
                </c:pt>
                <c:pt idx="6">
                  <c:v>1305.016636890695</c:v>
                </c:pt>
                <c:pt idx="7">
                  <c:v>1257.256591602376</c:v>
                </c:pt>
                <c:pt idx="8">
                  <c:v>1210.168958836382</c:v>
                </c:pt>
                <c:pt idx="9">
                  <c:v>1163.763296965929</c:v>
                </c:pt>
                <c:pt idx="10">
                  <c:v>1118.049392987904</c:v>
                </c:pt>
                <c:pt idx="11">
                  <c:v>1073.037270252643</c:v>
                </c:pt>
                <c:pt idx="12">
                  <c:v>1028.737196532986</c:v>
                </c:pt>
                <c:pt idx="13">
                  <c:v>985.1596924510206</c:v>
                </c:pt>
                <c:pt idx="14">
                  <c:v>942.3155402820888</c:v>
                </c:pt>
                <c:pt idx="15">
                  <c:v>900.2157931568544</c:v>
                </c:pt>
                <c:pt idx="16">
                  <c:v>858.8717846837267</c:v>
                </c:pt>
                <c:pt idx="17">
                  <c:v>818.2951390153011</c:v>
                </c:pt>
                <c:pt idx="18">
                  <c:v>778.497781384126</c:v>
                </c:pt>
                <c:pt idx="19">
                  <c:v>739.491949134836</c:v>
                </c:pt>
                <c:pt idx="20">
                  <c:v>701.2902032815226</c:v>
                </c:pt>
                <c:pt idx="21">
                  <c:v>663.905440621235</c:v>
                </c:pt>
                <c:pt idx="22">
                  <c:v>627.350906436666</c:v>
                </c:pt>
                <c:pt idx="23">
                  <c:v>591.6402078234652</c:v>
                </c:pt>
                <c:pt idx="24">
                  <c:v>556.7873276800691</c:v>
                </c:pt>
              </c:numCache>
            </c:numRef>
          </c:xVal>
          <c:yVal>
            <c:numRef>
              <c:f>'5017-620Kv'!$H$127:$H$151</c:f>
              <c:numCache>
                <c:formatCode>General</c:formatCode>
                <c:ptCount val="25"/>
                <c:pt idx="0">
                  <c:v>78.10957483982237</c:v>
                </c:pt>
                <c:pt idx="1">
                  <c:v>78.17370865584805</c:v>
                </c:pt>
                <c:pt idx="2">
                  <c:v>78.20882811207686</c:v>
                </c:pt>
                <c:pt idx="3">
                  <c:v>78.21396798531495</c:v>
                </c:pt>
                <c:pt idx="4">
                  <c:v>78.20989365675449</c:v>
                </c:pt>
                <c:pt idx="5">
                  <c:v>78.19582301566432</c:v>
                </c:pt>
                <c:pt idx="6">
                  <c:v>78.17090037741369</c:v>
                </c:pt>
                <c:pt idx="7">
                  <c:v>78.13418840773018</c:v>
                </c:pt>
                <c:pt idx="8">
                  <c:v>78.08465903214938</c:v>
                </c:pt>
                <c:pt idx="9">
                  <c:v>78.02118318876438</c:v>
                </c:pt>
                <c:pt idx="10">
                  <c:v>77.94251926106487</c:v>
                </c:pt>
                <c:pt idx="11">
                  <c:v>77.84730000307928</c:v>
                </c:pt>
                <c:pt idx="12">
                  <c:v>77.73401774074373</c:v>
                </c:pt>
                <c:pt idx="13">
                  <c:v>77.60100760094734</c:v>
                </c:pt>
                <c:pt idx="14">
                  <c:v>77.44642848254996</c:v>
                </c:pt>
                <c:pt idx="15">
                  <c:v>77.26824144137836</c:v>
                </c:pt>
                <c:pt idx="16">
                  <c:v>77.06418511338468</c:v>
                </c:pt>
                <c:pt idx="17">
                  <c:v>76.83174774657448</c:v>
                </c:pt>
                <c:pt idx="18">
                  <c:v>76.56813535305119</c:v>
                </c:pt>
                <c:pt idx="19">
                  <c:v>76.27023542815692</c:v>
                </c:pt>
                <c:pt idx="20">
                  <c:v>75.9345756156194</c:v>
                </c:pt>
                <c:pt idx="21">
                  <c:v>75.5572766285451</c:v>
                </c:pt>
                <c:pt idx="22">
                  <c:v>75.13399867075276</c:v>
                </c:pt>
                <c:pt idx="23">
                  <c:v>74.65988054912778</c:v>
                </c:pt>
                <c:pt idx="24">
                  <c:v>74.12947063787037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xVal>
            <c:numRef>
              <c:f>'5017-620Kv'!$K$168:$K$179</c:f>
              <c:numCache>
                <c:formatCode>General</c:formatCode>
                <c:ptCount val="12"/>
                <c:pt idx="0">
                  <c:v>1677.65051293329</c:v>
                </c:pt>
                <c:pt idx="1">
                  <c:v>1652.505670745338</c:v>
                </c:pt>
                <c:pt idx="2">
                  <c:v>1528.653026199914</c:v>
                </c:pt>
                <c:pt idx="3">
                  <c:v>1408.014662430401</c:v>
                </c:pt>
                <c:pt idx="4">
                  <c:v>1290.727500238545</c:v>
                </c:pt>
                <c:pt idx="5">
                  <c:v>1176.93846646001</c:v>
                </c:pt>
                <c:pt idx="6">
                  <c:v>1066.805548633214</c:v>
                </c:pt>
                <c:pt idx="7">
                  <c:v>960.4989970510105</c:v>
                </c:pt>
                <c:pt idx="8">
                  <c:v>858.2027001778574</c:v>
                </c:pt>
                <c:pt idx="9">
                  <c:v>760.1157650086335</c:v>
                </c:pt>
                <c:pt idx="10">
                  <c:v>666.4543409758841</c:v>
                </c:pt>
                <c:pt idx="11">
                  <c:v>577.4537349134915</c:v>
                </c:pt>
              </c:numCache>
            </c:numRef>
          </c:xVal>
          <c:yVal>
            <c:numRef>
              <c:f>'5017-620Kv'!$H$168:$H$179</c:f>
              <c:numCache>
                <c:formatCode>General</c:formatCode>
                <c:ptCount val="12"/>
                <c:pt idx="0">
                  <c:v>73.17906261674787</c:v>
                </c:pt>
                <c:pt idx="1">
                  <c:v>73.2260727572625</c:v>
                </c:pt>
                <c:pt idx="2">
                  <c:v>73.4422592641915</c:v>
                </c:pt>
                <c:pt idx="3">
                  <c:v>73.62112189230652</c:v>
                </c:pt>
                <c:pt idx="4">
                  <c:v>73.7529987126082</c:v>
                </c:pt>
                <c:pt idx="5">
                  <c:v>73.82566259227535</c:v>
                </c:pt>
                <c:pt idx="6">
                  <c:v>73.82351781793267</c:v>
                </c:pt>
                <c:pt idx="7">
                  <c:v>73.72650091699361</c:v>
                </c:pt>
                <c:pt idx="8">
                  <c:v>73.50856099170173</c:v>
                </c:pt>
                <c:pt idx="9">
                  <c:v>73.13553720652622</c:v>
                </c:pt>
                <c:pt idx="10">
                  <c:v>72.56216646138553</c:v>
                </c:pt>
                <c:pt idx="11">
                  <c:v>71.72783321365891</c:v>
                </c:pt>
              </c:numCache>
            </c:numRef>
          </c:yVal>
          <c:smooth val="1"/>
        </c:ser>
        <c:ser>
          <c:idx val="4"/>
          <c:order val="4"/>
          <c:tx>
            <c:v>12x4,5 HK</c:v>
          </c:tx>
          <c:xVal>
            <c:numRef>
              <c:f>'5017-620Kv'!$K$192:$K$200</c:f>
              <c:numCache>
                <c:formatCode>General</c:formatCode>
                <c:ptCount val="9"/>
                <c:pt idx="0">
                  <c:v>1755.292242500869</c:v>
                </c:pt>
                <c:pt idx="1">
                  <c:v>1562.515479943786</c:v>
                </c:pt>
                <c:pt idx="2">
                  <c:v>1378.720910450027</c:v>
                </c:pt>
                <c:pt idx="3">
                  <c:v>1204.25881849657</c:v>
                </c:pt>
                <c:pt idx="4">
                  <c:v>1039.502865473843</c:v>
                </c:pt>
                <c:pt idx="5">
                  <c:v>855.1719658765882</c:v>
                </c:pt>
                <c:pt idx="6">
                  <c:v>740.7346567682582</c:v>
                </c:pt>
                <c:pt idx="7">
                  <c:v>607.60827653667</c:v>
                </c:pt>
                <c:pt idx="8">
                  <c:v>545.3193547656392</c:v>
                </c:pt>
              </c:numCache>
            </c:numRef>
          </c:xVal>
          <c:yVal>
            <c:numRef>
              <c:f>'5017-620Kv'!$H$192:$H$200</c:f>
              <c:numCache>
                <c:formatCode>General</c:formatCode>
                <c:ptCount val="9"/>
                <c:pt idx="0">
                  <c:v>81.10676171909314</c:v>
                </c:pt>
                <c:pt idx="1">
                  <c:v>80.95306213578193</c:v>
                </c:pt>
                <c:pt idx="2">
                  <c:v>80.6685955703047</c:v>
                </c:pt>
                <c:pt idx="3">
                  <c:v>80.21417607861287</c:v>
                </c:pt>
                <c:pt idx="4">
                  <c:v>79.53653926883518</c:v>
                </c:pt>
                <c:pt idx="5">
                  <c:v>78.32337271324596</c:v>
                </c:pt>
                <c:pt idx="6">
                  <c:v>77.18844750621392</c:v>
                </c:pt>
                <c:pt idx="7">
                  <c:v>75.26929681416607</c:v>
                </c:pt>
                <c:pt idx="8">
                  <c:v>74.04297810169525</c:v>
                </c:pt>
              </c:numCache>
            </c:numRef>
          </c:yVal>
          <c:smooth val="1"/>
        </c:ser>
        <c:axId val="780832296"/>
        <c:axId val="780835448"/>
      </c:scatterChart>
      <c:valAx>
        <c:axId val="780832296"/>
        <c:scaling>
          <c:orientation val="minMax"/>
        </c:scaling>
        <c:axPos val="b"/>
        <c:numFmt formatCode="General" sourceLinked="1"/>
        <c:tickLblPos val="nextTo"/>
        <c:crossAx val="780835448"/>
        <c:crosses val="autoZero"/>
        <c:crossBetween val="midCat"/>
      </c:valAx>
      <c:valAx>
        <c:axId val="780835448"/>
        <c:scaling>
          <c:orientation val="minMax"/>
        </c:scaling>
        <c:axPos val="l"/>
        <c:majorGridlines/>
        <c:numFmt formatCode="General" sourceLinked="1"/>
        <c:tickLblPos val="nextTo"/>
        <c:crossAx val="78083229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4" Type="http://schemas.openxmlformats.org/officeDocument/2006/relationships/chart" Target="../charts/chart50.xml"/><Relationship Id="rId5" Type="http://schemas.openxmlformats.org/officeDocument/2006/relationships/chart" Target="../charts/chart51.xml"/><Relationship Id="rId1" Type="http://schemas.openxmlformats.org/officeDocument/2006/relationships/chart" Target="../charts/chart47.xml"/><Relationship Id="rId2" Type="http://schemas.openxmlformats.org/officeDocument/2006/relationships/chart" Target="../charts/chart4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Relationship Id="rId2" Type="http://schemas.openxmlformats.org/officeDocument/2006/relationships/chart" Target="../charts/chart5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Relationship Id="rId2" Type="http://schemas.openxmlformats.org/officeDocument/2006/relationships/chart" Target="../charts/chart5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4" Type="http://schemas.openxmlformats.org/officeDocument/2006/relationships/chart" Target="../charts/chart6.xml"/><Relationship Id="rId5" Type="http://schemas.openxmlformats.org/officeDocument/2006/relationships/chart" Target="../charts/chart7.xml"/><Relationship Id="rId6" Type="http://schemas.openxmlformats.org/officeDocument/2006/relationships/chart" Target="../charts/chart8.xml"/><Relationship Id="rId7" Type="http://schemas.openxmlformats.org/officeDocument/2006/relationships/chart" Target="../charts/chart9.xml"/><Relationship Id="rId8" Type="http://schemas.openxmlformats.org/officeDocument/2006/relationships/chart" Target="../charts/chart10.xml"/><Relationship Id="rId9" Type="http://schemas.openxmlformats.org/officeDocument/2006/relationships/chart" Target="../charts/chart11.xml"/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4" Type="http://schemas.openxmlformats.org/officeDocument/2006/relationships/chart" Target="../charts/chart15.xml"/><Relationship Id="rId5" Type="http://schemas.openxmlformats.org/officeDocument/2006/relationships/chart" Target="../charts/chart16.xml"/><Relationship Id="rId1" Type="http://schemas.openxmlformats.org/officeDocument/2006/relationships/chart" Target="../charts/chart12.xml"/><Relationship Id="rId2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4" Type="http://schemas.openxmlformats.org/officeDocument/2006/relationships/chart" Target="../charts/chart20.xml"/><Relationship Id="rId5" Type="http://schemas.openxmlformats.org/officeDocument/2006/relationships/chart" Target="../charts/chart21.xml"/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4" Type="http://schemas.openxmlformats.org/officeDocument/2006/relationships/chart" Target="../charts/chart25.xml"/><Relationship Id="rId5" Type="http://schemas.openxmlformats.org/officeDocument/2006/relationships/chart" Target="../charts/chart26.xml"/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4" Type="http://schemas.openxmlformats.org/officeDocument/2006/relationships/chart" Target="../charts/chart30.xml"/><Relationship Id="rId5" Type="http://schemas.openxmlformats.org/officeDocument/2006/relationships/chart" Target="../charts/chart31.xml"/><Relationship Id="rId1" Type="http://schemas.openxmlformats.org/officeDocument/2006/relationships/chart" Target="../charts/chart27.xml"/><Relationship Id="rId2" Type="http://schemas.openxmlformats.org/officeDocument/2006/relationships/chart" Target="../charts/chart2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4" Type="http://schemas.openxmlformats.org/officeDocument/2006/relationships/chart" Target="../charts/chart35.xml"/><Relationship Id="rId5" Type="http://schemas.openxmlformats.org/officeDocument/2006/relationships/chart" Target="../charts/chart36.xml"/><Relationship Id="rId1" Type="http://schemas.openxmlformats.org/officeDocument/2006/relationships/chart" Target="../charts/chart32.xml"/><Relationship Id="rId2" Type="http://schemas.openxmlformats.org/officeDocument/2006/relationships/chart" Target="../charts/chart3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4" Type="http://schemas.openxmlformats.org/officeDocument/2006/relationships/chart" Target="../charts/chart40.xml"/><Relationship Id="rId5" Type="http://schemas.openxmlformats.org/officeDocument/2006/relationships/chart" Target="../charts/chart41.xml"/><Relationship Id="rId1" Type="http://schemas.openxmlformats.org/officeDocument/2006/relationships/chart" Target="../charts/chart37.xml"/><Relationship Id="rId2" Type="http://schemas.openxmlformats.org/officeDocument/2006/relationships/chart" Target="../charts/chart3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4" Type="http://schemas.openxmlformats.org/officeDocument/2006/relationships/chart" Target="../charts/chart45.xml"/><Relationship Id="rId5" Type="http://schemas.openxmlformats.org/officeDocument/2006/relationships/chart" Target="../charts/chart46.xml"/><Relationship Id="rId1" Type="http://schemas.openxmlformats.org/officeDocument/2006/relationships/chart" Target="../charts/chart42.xml"/><Relationship Id="rId2" Type="http://schemas.openxmlformats.org/officeDocument/2006/relationships/chart" Target="../charts/char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</xdr:row>
      <xdr:rowOff>177800</xdr:rowOff>
    </xdr:from>
    <xdr:to>
      <xdr:col>19</xdr:col>
      <xdr:colOff>0</xdr:colOff>
      <xdr:row>28</xdr:row>
      <xdr:rowOff>12700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28</xdr:row>
      <xdr:rowOff>101600</xdr:rowOff>
    </xdr:from>
    <xdr:to>
      <xdr:col>10</xdr:col>
      <xdr:colOff>787400</xdr:colOff>
      <xdr:row>54</xdr:row>
      <xdr:rowOff>165100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105</xdr:row>
      <xdr:rowOff>88900</xdr:rowOff>
    </xdr:from>
    <xdr:to>
      <xdr:col>12</xdr:col>
      <xdr:colOff>736600</xdr:colOff>
      <xdr:row>143</xdr:row>
      <xdr:rowOff>63500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304800</xdr:colOff>
      <xdr:row>105</xdr:row>
      <xdr:rowOff>101600</xdr:rowOff>
    </xdr:from>
    <xdr:to>
      <xdr:col>24</xdr:col>
      <xdr:colOff>546100</xdr:colOff>
      <xdr:row>143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63500</xdr:colOff>
      <xdr:row>147</xdr:row>
      <xdr:rowOff>0</xdr:rowOff>
    </xdr:from>
    <xdr:to>
      <xdr:col>12</xdr:col>
      <xdr:colOff>800100</xdr:colOff>
      <xdr:row>184</xdr:row>
      <xdr:rowOff>165100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304800</xdr:colOff>
      <xdr:row>147</xdr:row>
      <xdr:rowOff>0</xdr:rowOff>
    </xdr:from>
    <xdr:to>
      <xdr:col>24</xdr:col>
      <xdr:colOff>546100</xdr:colOff>
      <xdr:row>184</xdr:row>
      <xdr:rowOff>165100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50800</xdr:colOff>
      <xdr:row>188</xdr:row>
      <xdr:rowOff>63500</xdr:rowOff>
    </xdr:from>
    <xdr:to>
      <xdr:col>12</xdr:col>
      <xdr:colOff>787400</xdr:colOff>
      <xdr:row>226</xdr:row>
      <xdr:rowOff>38100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</xdr:colOff>
      <xdr:row>131</xdr:row>
      <xdr:rowOff>88900</xdr:rowOff>
    </xdr:from>
    <xdr:to>
      <xdr:col>16</xdr:col>
      <xdr:colOff>114300</xdr:colOff>
      <xdr:row>185</xdr:row>
      <xdr:rowOff>25400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148</xdr:row>
      <xdr:rowOff>0</xdr:rowOff>
    </xdr:from>
    <xdr:to>
      <xdr:col>31</xdr:col>
      <xdr:colOff>25400</xdr:colOff>
      <xdr:row>201</xdr:row>
      <xdr:rowOff>127000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698500</xdr:colOff>
      <xdr:row>31</xdr:row>
      <xdr:rowOff>165100</xdr:rowOff>
    </xdr:from>
    <xdr:to>
      <xdr:col>20</xdr:col>
      <xdr:colOff>622300</xdr:colOff>
      <xdr:row>61</xdr:row>
      <xdr:rowOff>88900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0</xdr:row>
      <xdr:rowOff>127000</xdr:rowOff>
    </xdr:from>
    <xdr:to>
      <xdr:col>23</xdr:col>
      <xdr:colOff>0</xdr:colOff>
      <xdr:row>36</xdr:row>
      <xdr:rowOff>12700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12700</xdr:colOff>
      <xdr:row>66</xdr:row>
      <xdr:rowOff>12700</xdr:rowOff>
    </xdr:from>
    <xdr:to>
      <xdr:col>35</xdr:col>
      <xdr:colOff>457200</xdr:colOff>
      <xdr:row>80</xdr:row>
      <xdr:rowOff>38100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469900</xdr:colOff>
      <xdr:row>2</xdr:row>
      <xdr:rowOff>63500</xdr:rowOff>
    </xdr:from>
    <xdr:to>
      <xdr:col>23</xdr:col>
      <xdr:colOff>203200</xdr:colOff>
      <xdr:row>37</xdr:row>
      <xdr:rowOff>139700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812800</xdr:colOff>
      <xdr:row>49</xdr:row>
      <xdr:rowOff>50800</xdr:rowOff>
    </xdr:from>
    <xdr:to>
      <xdr:col>28</xdr:col>
      <xdr:colOff>419100</xdr:colOff>
      <xdr:row>75</xdr:row>
      <xdr:rowOff>127000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88</xdr:row>
      <xdr:rowOff>101600</xdr:rowOff>
    </xdr:from>
    <xdr:to>
      <xdr:col>28</xdr:col>
      <xdr:colOff>431800</xdr:colOff>
      <xdr:row>114</xdr:row>
      <xdr:rowOff>177800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812800</xdr:colOff>
      <xdr:row>127</xdr:row>
      <xdr:rowOff>152400</xdr:rowOff>
    </xdr:from>
    <xdr:to>
      <xdr:col>28</xdr:col>
      <xdr:colOff>419100</xdr:colOff>
      <xdr:row>154</xdr:row>
      <xdr:rowOff>38100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800100</xdr:colOff>
      <xdr:row>204</xdr:row>
      <xdr:rowOff>0</xdr:rowOff>
    </xdr:from>
    <xdr:to>
      <xdr:col>11</xdr:col>
      <xdr:colOff>469900</xdr:colOff>
      <xdr:row>241</xdr:row>
      <xdr:rowOff>165100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12700</xdr:colOff>
      <xdr:row>204</xdr:row>
      <xdr:rowOff>12700</xdr:rowOff>
    </xdr:from>
    <xdr:to>
      <xdr:col>22</xdr:col>
      <xdr:colOff>749300</xdr:colOff>
      <xdr:row>241</xdr:row>
      <xdr:rowOff>177800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12700</xdr:colOff>
      <xdr:row>245</xdr:row>
      <xdr:rowOff>101600</xdr:rowOff>
    </xdr:from>
    <xdr:to>
      <xdr:col>11</xdr:col>
      <xdr:colOff>508000</xdr:colOff>
      <xdr:row>283</xdr:row>
      <xdr:rowOff>76200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12700</xdr:colOff>
      <xdr:row>245</xdr:row>
      <xdr:rowOff>101600</xdr:rowOff>
    </xdr:from>
    <xdr:to>
      <xdr:col>22</xdr:col>
      <xdr:colOff>749300</xdr:colOff>
      <xdr:row>283</xdr:row>
      <xdr:rowOff>76200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286</xdr:row>
      <xdr:rowOff>165100</xdr:rowOff>
    </xdr:from>
    <xdr:to>
      <xdr:col>11</xdr:col>
      <xdr:colOff>495300</xdr:colOff>
      <xdr:row>324</xdr:row>
      <xdr:rowOff>139700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159</xdr:row>
      <xdr:rowOff>0</xdr:rowOff>
    </xdr:from>
    <xdr:to>
      <xdr:col>28</xdr:col>
      <xdr:colOff>431800</xdr:colOff>
      <xdr:row>196</xdr:row>
      <xdr:rowOff>76200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106</xdr:row>
      <xdr:rowOff>63500</xdr:rowOff>
    </xdr:from>
    <xdr:to>
      <xdr:col>12</xdr:col>
      <xdr:colOff>800100</xdr:colOff>
      <xdr:row>144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368300</xdr:colOff>
      <xdr:row>106</xdr:row>
      <xdr:rowOff>76200</xdr:rowOff>
    </xdr:from>
    <xdr:to>
      <xdr:col>24</xdr:col>
      <xdr:colOff>609600</xdr:colOff>
      <xdr:row>144</xdr:row>
      <xdr:rowOff>50800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127000</xdr:colOff>
      <xdr:row>147</xdr:row>
      <xdr:rowOff>165100</xdr:rowOff>
    </xdr:from>
    <xdr:to>
      <xdr:col>13</xdr:col>
      <xdr:colOff>38100</xdr:colOff>
      <xdr:row>185</xdr:row>
      <xdr:rowOff>139700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368300</xdr:colOff>
      <xdr:row>147</xdr:row>
      <xdr:rowOff>165100</xdr:rowOff>
    </xdr:from>
    <xdr:to>
      <xdr:col>24</xdr:col>
      <xdr:colOff>609600</xdr:colOff>
      <xdr:row>185</xdr:row>
      <xdr:rowOff>139700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114300</xdr:colOff>
      <xdr:row>189</xdr:row>
      <xdr:rowOff>38100</xdr:rowOff>
    </xdr:from>
    <xdr:to>
      <xdr:col>13</xdr:col>
      <xdr:colOff>25400</xdr:colOff>
      <xdr:row>227</xdr:row>
      <xdr:rowOff>12700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107</xdr:row>
      <xdr:rowOff>0</xdr:rowOff>
    </xdr:from>
    <xdr:to>
      <xdr:col>11</xdr:col>
      <xdr:colOff>736600</xdr:colOff>
      <xdr:row>144</xdr:row>
      <xdr:rowOff>165100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304800</xdr:colOff>
      <xdr:row>107</xdr:row>
      <xdr:rowOff>12700</xdr:rowOff>
    </xdr:from>
    <xdr:to>
      <xdr:col>23</xdr:col>
      <xdr:colOff>546100</xdr:colOff>
      <xdr:row>144</xdr:row>
      <xdr:rowOff>177800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</xdr:colOff>
      <xdr:row>148</xdr:row>
      <xdr:rowOff>101600</xdr:rowOff>
    </xdr:from>
    <xdr:to>
      <xdr:col>11</xdr:col>
      <xdr:colOff>800100</xdr:colOff>
      <xdr:row>186</xdr:row>
      <xdr:rowOff>76200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304800</xdr:colOff>
      <xdr:row>148</xdr:row>
      <xdr:rowOff>101600</xdr:rowOff>
    </xdr:from>
    <xdr:to>
      <xdr:col>23</xdr:col>
      <xdr:colOff>546100</xdr:colOff>
      <xdr:row>186</xdr:row>
      <xdr:rowOff>76200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50800</xdr:colOff>
      <xdr:row>189</xdr:row>
      <xdr:rowOff>165100</xdr:rowOff>
    </xdr:from>
    <xdr:to>
      <xdr:col>11</xdr:col>
      <xdr:colOff>787400</xdr:colOff>
      <xdr:row>227</xdr:row>
      <xdr:rowOff>139700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101</xdr:row>
      <xdr:rowOff>76200</xdr:rowOff>
    </xdr:from>
    <xdr:to>
      <xdr:col>11</xdr:col>
      <xdr:colOff>622300</xdr:colOff>
      <xdr:row>139</xdr:row>
      <xdr:rowOff>50800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165100</xdr:colOff>
      <xdr:row>101</xdr:row>
      <xdr:rowOff>88900</xdr:rowOff>
    </xdr:from>
    <xdr:to>
      <xdr:col>23</xdr:col>
      <xdr:colOff>406400</xdr:colOff>
      <xdr:row>139</xdr:row>
      <xdr:rowOff>63500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749300</xdr:colOff>
      <xdr:row>142</xdr:row>
      <xdr:rowOff>177800</xdr:rowOff>
    </xdr:from>
    <xdr:to>
      <xdr:col>11</xdr:col>
      <xdr:colOff>660400</xdr:colOff>
      <xdr:row>180</xdr:row>
      <xdr:rowOff>152400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165100</xdr:colOff>
      <xdr:row>142</xdr:row>
      <xdr:rowOff>177800</xdr:rowOff>
    </xdr:from>
    <xdr:to>
      <xdr:col>23</xdr:col>
      <xdr:colOff>406400</xdr:colOff>
      <xdr:row>180</xdr:row>
      <xdr:rowOff>152400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736600</xdr:colOff>
      <xdr:row>184</xdr:row>
      <xdr:rowOff>50800</xdr:rowOff>
    </xdr:from>
    <xdr:to>
      <xdr:col>11</xdr:col>
      <xdr:colOff>647700</xdr:colOff>
      <xdr:row>222</xdr:row>
      <xdr:rowOff>25400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104</xdr:row>
      <xdr:rowOff>0</xdr:rowOff>
    </xdr:from>
    <xdr:to>
      <xdr:col>11</xdr:col>
      <xdr:colOff>368300</xdr:colOff>
      <xdr:row>141</xdr:row>
      <xdr:rowOff>165100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762000</xdr:colOff>
      <xdr:row>104</xdr:row>
      <xdr:rowOff>12700</xdr:rowOff>
    </xdr:from>
    <xdr:to>
      <xdr:col>23</xdr:col>
      <xdr:colOff>177800</xdr:colOff>
      <xdr:row>141</xdr:row>
      <xdr:rowOff>177800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520700</xdr:colOff>
      <xdr:row>145</xdr:row>
      <xdr:rowOff>101600</xdr:rowOff>
    </xdr:from>
    <xdr:to>
      <xdr:col>11</xdr:col>
      <xdr:colOff>431800</xdr:colOff>
      <xdr:row>183</xdr:row>
      <xdr:rowOff>76200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762000</xdr:colOff>
      <xdr:row>145</xdr:row>
      <xdr:rowOff>101600</xdr:rowOff>
    </xdr:from>
    <xdr:to>
      <xdr:col>23</xdr:col>
      <xdr:colOff>177800</xdr:colOff>
      <xdr:row>183</xdr:row>
      <xdr:rowOff>76200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508000</xdr:colOff>
      <xdr:row>186</xdr:row>
      <xdr:rowOff>165100</xdr:rowOff>
    </xdr:from>
    <xdr:to>
      <xdr:col>11</xdr:col>
      <xdr:colOff>419100</xdr:colOff>
      <xdr:row>224</xdr:row>
      <xdr:rowOff>139700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103</xdr:row>
      <xdr:rowOff>0</xdr:rowOff>
    </xdr:from>
    <xdr:to>
      <xdr:col>11</xdr:col>
      <xdr:colOff>736600</xdr:colOff>
      <xdr:row>140</xdr:row>
      <xdr:rowOff>165100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304800</xdr:colOff>
      <xdr:row>103</xdr:row>
      <xdr:rowOff>12700</xdr:rowOff>
    </xdr:from>
    <xdr:to>
      <xdr:col>23</xdr:col>
      <xdr:colOff>546100</xdr:colOff>
      <xdr:row>140</xdr:row>
      <xdr:rowOff>177800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</xdr:colOff>
      <xdr:row>144</xdr:row>
      <xdr:rowOff>101600</xdr:rowOff>
    </xdr:from>
    <xdr:to>
      <xdr:col>11</xdr:col>
      <xdr:colOff>800100</xdr:colOff>
      <xdr:row>182</xdr:row>
      <xdr:rowOff>76200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304800</xdr:colOff>
      <xdr:row>144</xdr:row>
      <xdr:rowOff>101600</xdr:rowOff>
    </xdr:from>
    <xdr:to>
      <xdr:col>23</xdr:col>
      <xdr:colOff>546100</xdr:colOff>
      <xdr:row>182</xdr:row>
      <xdr:rowOff>76200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50800</xdr:colOff>
      <xdr:row>185</xdr:row>
      <xdr:rowOff>165100</xdr:rowOff>
    </xdr:from>
    <xdr:to>
      <xdr:col>11</xdr:col>
      <xdr:colOff>787400</xdr:colOff>
      <xdr:row>223</xdr:row>
      <xdr:rowOff>139700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104</xdr:row>
      <xdr:rowOff>0</xdr:rowOff>
    </xdr:from>
    <xdr:to>
      <xdr:col>12</xdr:col>
      <xdr:colOff>736600</xdr:colOff>
      <xdr:row>141</xdr:row>
      <xdr:rowOff>165100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304800</xdr:colOff>
      <xdr:row>104</xdr:row>
      <xdr:rowOff>12700</xdr:rowOff>
    </xdr:from>
    <xdr:to>
      <xdr:col>24</xdr:col>
      <xdr:colOff>546100</xdr:colOff>
      <xdr:row>141</xdr:row>
      <xdr:rowOff>177800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63500</xdr:colOff>
      <xdr:row>145</xdr:row>
      <xdr:rowOff>101600</xdr:rowOff>
    </xdr:from>
    <xdr:to>
      <xdr:col>12</xdr:col>
      <xdr:colOff>800100</xdr:colOff>
      <xdr:row>183</xdr:row>
      <xdr:rowOff>76200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304800</xdr:colOff>
      <xdr:row>145</xdr:row>
      <xdr:rowOff>101600</xdr:rowOff>
    </xdr:from>
    <xdr:to>
      <xdr:col>24</xdr:col>
      <xdr:colOff>546100</xdr:colOff>
      <xdr:row>183</xdr:row>
      <xdr:rowOff>76200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50800</xdr:colOff>
      <xdr:row>186</xdr:row>
      <xdr:rowOff>165100</xdr:rowOff>
    </xdr:from>
    <xdr:to>
      <xdr:col>12</xdr:col>
      <xdr:colOff>787400</xdr:colOff>
      <xdr:row>224</xdr:row>
      <xdr:rowOff>139700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105</xdr:row>
      <xdr:rowOff>0</xdr:rowOff>
    </xdr:from>
    <xdr:to>
      <xdr:col>11</xdr:col>
      <xdr:colOff>736600</xdr:colOff>
      <xdr:row>142</xdr:row>
      <xdr:rowOff>165100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304800</xdr:colOff>
      <xdr:row>105</xdr:row>
      <xdr:rowOff>12700</xdr:rowOff>
    </xdr:from>
    <xdr:to>
      <xdr:col>23</xdr:col>
      <xdr:colOff>546100</xdr:colOff>
      <xdr:row>142</xdr:row>
      <xdr:rowOff>177800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</xdr:colOff>
      <xdr:row>146</xdr:row>
      <xdr:rowOff>101600</xdr:rowOff>
    </xdr:from>
    <xdr:to>
      <xdr:col>11</xdr:col>
      <xdr:colOff>800100</xdr:colOff>
      <xdr:row>184</xdr:row>
      <xdr:rowOff>76200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304800</xdr:colOff>
      <xdr:row>146</xdr:row>
      <xdr:rowOff>101600</xdr:rowOff>
    </xdr:from>
    <xdr:to>
      <xdr:col>23</xdr:col>
      <xdr:colOff>546100</xdr:colOff>
      <xdr:row>184</xdr:row>
      <xdr:rowOff>76200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50800</xdr:colOff>
      <xdr:row>187</xdr:row>
      <xdr:rowOff>165100</xdr:rowOff>
    </xdr:from>
    <xdr:to>
      <xdr:col>11</xdr:col>
      <xdr:colOff>787400</xdr:colOff>
      <xdr:row>225</xdr:row>
      <xdr:rowOff>139700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hobbyking.com/hobbyking/store/__39780__16x5_Carbon_fiber_propellers_to_suit_the_DJI_S800_Hexacopters_1_pair_of_L_H_and_R_H_rotation_.html" TargetMode="External"/><Relationship Id="rId4" Type="http://schemas.openxmlformats.org/officeDocument/2006/relationships/hyperlink" Target="http://hobbyking.com/hobbyking/store/__28105__Turnigy_9014_135kv_Brushless_Multi_Rotor_Motor.html" TargetMode="External"/><Relationship Id="rId5" Type="http://schemas.openxmlformats.org/officeDocument/2006/relationships/hyperlink" Target="http://hobbyking.com/hobbyking/store/__26963__Turnigy_Multistar_4225_390Kv_16Pole_Multi_Rotor_Outrunner.html" TargetMode="External"/><Relationship Id="rId6" Type="http://schemas.openxmlformats.org/officeDocument/2006/relationships/hyperlink" Target="http://www.rctimer.com/product_748.html" TargetMode="External"/><Relationship Id="rId7" Type="http://schemas.openxmlformats.org/officeDocument/2006/relationships/drawing" Target="../drawings/drawing12.xml"/><Relationship Id="rId1" Type="http://schemas.openxmlformats.org/officeDocument/2006/relationships/hyperlink" Target="http://hobbyking.com/hobbyking/store/__28105__Turnigy_9014_135kv_Brushless_Multi_Rotor_Motor.html" TargetMode="External"/><Relationship Id="rId2" Type="http://schemas.openxmlformats.org/officeDocument/2006/relationships/hyperlink" Target="http://hobbyking.com/hobbyking/store/__42855__18x4_Carbon_Fiber_Propellers_for_DJI_S800_L_H_and_R_H_Rotation_1_pair_.html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C3:T56"/>
  <sheetViews>
    <sheetView workbookViewId="0">
      <selection activeCell="E6" sqref="E6"/>
    </sheetView>
  </sheetViews>
  <sheetFormatPr baseColWidth="10" defaultRowHeight="15"/>
  <cols>
    <col min="1" max="1" width="13.6640625" bestFit="1" customWidth="1"/>
    <col min="3" max="3" width="13" customWidth="1"/>
  </cols>
  <sheetData>
    <row r="3" spans="3:8">
      <c r="D3" s="78" t="s">
        <v>364</v>
      </c>
    </row>
    <row r="4" spans="3:8">
      <c r="D4" t="s">
        <v>332</v>
      </c>
      <c r="E4">
        <v>6</v>
      </c>
      <c r="F4" t="s">
        <v>242</v>
      </c>
    </row>
    <row r="5" spans="3:8">
      <c r="D5" t="s">
        <v>405</v>
      </c>
      <c r="E5">
        <v>5000</v>
      </c>
      <c r="F5" t="s">
        <v>406</v>
      </c>
    </row>
    <row r="6" spans="3:8">
      <c r="D6" t="s">
        <v>408</v>
      </c>
      <c r="E6">
        <v>65</v>
      </c>
      <c r="F6" t="s">
        <v>409</v>
      </c>
    </row>
    <row r="8" spans="3:8" ht="17">
      <c r="C8" s="70" t="s">
        <v>207</v>
      </c>
      <c r="D8" s="71" t="s">
        <v>206</v>
      </c>
      <c r="E8" s="71" t="s">
        <v>208</v>
      </c>
      <c r="F8" s="71" t="s">
        <v>209</v>
      </c>
      <c r="G8" s="71" t="s">
        <v>210</v>
      </c>
      <c r="H8" s="72" t="s">
        <v>241</v>
      </c>
    </row>
    <row r="9" spans="3:8">
      <c r="C9" s="73">
        <v>10</v>
      </c>
      <c r="D9" s="67">
        <f t="shared" ref="D9:D14" si="0">$E$5</f>
        <v>5000</v>
      </c>
      <c r="E9" s="67">
        <f t="shared" ref="E9:E14" si="1">$E$6</f>
        <v>65</v>
      </c>
      <c r="F9" s="67">
        <f t="shared" ref="F9:F14" si="2">$E$4</f>
        <v>6</v>
      </c>
      <c r="G9" s="67">
        <f>3.7*F9</f>
        <v>22.200000000000003</v>
      </c>
      <c r="H9" s="74">
        <f>0.00015*D9*E9*G9/C9</f>
        <v>108.22499999999999</v>
      </c>
    </row>
    <row r="10" spans="3:8">
      <c r="C10" s="73">
        <v>12</v>
      </c>
      <c r="D10" s="67">
        <f t="shared" si="0"/>
        <v>5000</v>
      </c>
      <c r="E10" s="67">
        <f t="shared" si="1"/>
        <v>65</v>
      </c>
      <c r="F10" s="67">
        <f t="shared" si="2"/>
        <v>6</v>
      </c>
      <c r="G10" s="67">
        <f t="shared" ref="G10:G14" si="3">3.7*F10</f>
        <v>22.200000000000003</v>
      </c>
      <c r="H10" s="74">
        <f t="shared" ref="H10:H14" si="4">0.00015*D10*E10*G10/C10</f>
        <v>90.1875</v>
      </c>
    </row>
    <row r="11" spans="3:8">
      <c r="C11" s="73">
        <v>14</v>
      </c>
      <c r="D11" s="67">
        <f t="shared" si="0"/>
        <v>5000</v>
      </c>
      <c r="E11" s="67">
        <f t="shared" si="1"/>
        <v>65</v>
      </c>
      <c r="F11" s="67">
        <f t="shared" si="2"/>
        <v>6</v>
      </c>
      <c r="G11" s="67">
        <f t="shared" si="3"/>
        <v>22.200000000000003</v>
      </c>
      <c r="H11" s="74">
        <f t="shared" si="4"/>
        <v>77.303571428571431</v>
      </c>
    </row>
    <row r="12" spans="3:8">
      <c r="C12" s="73">
        <v>16</v>
      </c>
      <c r="D12" s="67">
        <f t="shared" si="0"/>
        <v>5000</v>
      </c>
      <c r="E12" s="67">
        <f t="shared" si="1"/>
        <v>65</v>
      </c>
      <c r="F12" s="67">
        <f t="shared" si="2"/>
        <v>6</v>
      </c>
      <c r="G12" s="67">
        <f t="shared" si="3"/>
        <v>22.200000000000003</v>
      </c>
      <c r="H12" s="74">
        <f t="shared" si="4"/>
        <v>67.640625</v>
      </c>
    </row>
    <row r="13" spans="3:8">
      <c r="C13" s="73">
        <v>18</v>
      </c>
      <c r="D13" s="67">
        <f t="shared" si="0"/>
        <v>5000</v>
      </c>
      <c r="E13" s="67">
        <f t="shared" si="1"/>
        <v>65</v>
      </c>
      <c r="F13" s="67">
        <f t="shared" si="2"/>
        <v>6</v>
      </c>
      <c r="G13" s="67">
        <f t="shared" si="3"/>
        <v>22.200000000000003</v>
      </c>
      <c r="H13" s="74">
        <f t="shared" si="4"/>
        <v>60.125</v>
      </c>
    </row>
    <row r="14" spans="3:8">
      <c r="C14" s="75">
        <v>20</v>
      </c>
      <c r="D14" s="76">
        <f t="shared" si="0"/>
        <v>5000</v>
      </c>
      <c r="E14" s="76">
        <f t="shared" si="1"/>
        <v>65</v>
      </c>
      <c r="F14" s="76">
        <f t="shared" si="2"/>
        <v>6</v>
      </c>
      <c r="G14" s="76">
        <f t="shared" si="3"/>
        <v>22.200000000000003</v>
      </c>
      <c r="H14" s="77">
        <f t="shared" si="4"/>
        <v>54.112499999999997</v>
      </c>
    </row>
    <row r="17" spans="3:20">
      <c r="C17" s="78" t="s">
        <v>293</v>
      </c>
    </row>
    <row r="19" spans="3:20">
      <c r="C19" s="70" t="s">
        <v>294</v>
      </c>
      <c r="D19" s="71">
        <v>400</v>
      </c>
      <c r="E19" s="71">
        <v>550</v>
      </c>
      <c r="F19" s="71">
        <v>700</v>
      </c>
      <c r="G19" s="71">
        <v>850</v>
      </c>
      <c r="H19" s="71">
        <v>1000</v>
      </c>
      <c r="I19" s="71">
        <v>1500</v>
      </c>
      <c r="J19" s="72">
        <v>2000</v>
      </c>
    </row>
    <row r="20" spans="3:20">
      <c r="C20" s="73" t="s">
        <v>295</v>
      </c>
      <c r="D20" s="67"/>
      <c r="E20" s="67"/>
      <c r="F20" s="67"/>
      <c r="G20" s="67"/>
      <c r="H20" s="67"/>
      <c r="I20" s="67"/>
      <c r="J20" s="74"/>
    </row>
    <row r="21" spans="3:20">
      <c r="C21" s="73">
        <v>10</v>
      </c>
      <c r="D21" s="67">
        <f>$D$19/$H9</f>
        <v>3.6960036960036962</v>
      </c>
      <c r="E21" s="79">
        <f>$E$19/$H9</f>
        <v>5.0820050820050824</v>
      </c>
      <c r="F21" s="67">
        <f>$F$19/$H9</f>
        <v>6.4680064680064682</v>
      </c>
      <c r="G21" s="79">
        <f>$G$19/$H9</f>
        <v>7.8540078540078548</v>
      </c>
      <c r="H21" s="67">
        <f>$H$19/$H9</f>
        <v>9.2400092400092397</v>
      </c>
      <c r="I21" s="67">
        <f>$I$19/$H9</f>
        <v>13.860013860013861</v>
      </c>
      <c r="J21" s="74">
        <f>$J$19/$H9</f>
        <v>18.480018480018479</v>
      </c>
    </row>
    <row r="22" spans="3:20">
      <c r="C22" s="73">
        <v>12</v>
      </c>
      <c r="D22" s="67">
        <f t="shared" ref="D22:D26" si="5">$D$19/$H10</f>
        <v>4.4352044352044349</v>
      </c>
      <c r="E22" s="79">
        <f t="shared" ref="E22:E26" si="6">$E$19/$H10</f>
        <v>6.0984060984060982</v>
      </c>
      <c r="F22" s="67">
        <f t="shared" ref="F22:F26" si="7">$F$19/$H10</f>
        <v>7.7616077616077614</v>
      </c>
      <c r="G22" s="79">
        <f t="shared" ref="G22:G26" si="8">$G$19/$H10</f>
        <v>9.4248094248094247</v>
      </c>
      <c r="H22" s="67">
        <f t="shared" ref="H22:H26" si="9">$H$19/$H10</f>
        <v>11.088011088011088</v>
      </c>
      <c r="I22" s="67">
        <f t="shared" ref="I22:I26" si="10">$I$19/$H10</f>
        <v>16.632016632016633</v>
      </c>
      <c r="J22" s="74">
        <f t="shared" ref="J22:J26" si="11">$J$19/$H10</f>
        <v>22.176022176022176</v>
      </c>
    </row>
    <row r="23" spans="3:20">
      <c r="C23" s="73">
        <v>14</v>
      </c>
      <c r="D23" s="67">
        <f t="shared" si="5"/>
        <v>5.174405174405174</v>
      </c>
      <c r="E23" s="79">
        <f t="shared" si="6"/>
        <v>7.1148071148071148</v>
      </c>
      <c r="F23" s="67">
        <f t="shared" si="7"/>
        <v>9.0552090552090547</v>
      </c>
      <c r="G23" s="79">
        <f t="shared" si="8"/>
        <v>10.995610995610996</v>
      </c>
      <c r="H23" s="67">
        <f t="shared" si="9"/>
        <v>12.936012936012936</v>
      </c>
      <c r="I23" s="67">
        <f t="shared" si="10"/>
        <v>19.404019404019405</v>
      </c>
      <c r="J23" s="74">
        <f t="shared" si="11"/>
        <v>25.872025872025873</v>
      </c>
    </row>
    <row r="24" spans="3:20">
      <c r="C24" s="73">
        <v>16</v>
      </c>
      <c r="D24" s="67">
        <f t="shared" si="5"/>
        <v>5.913605913605914</v>
      </c>
      <c r="E24" s="79">
        <f t="shared" si="6"/>
        <v>8.1312081312081315</v>
      </c>
      <c r="F24" s="67">
        <f t="shared" si="7"/>
        <v>10.348810348810348</v>
      </c>
      <c r="G24" s="79">
        <f t="shared" si="8"/>
        <v>12.566412566412566</v>
      </c>
      <c r="H24" s="67">
        <f t="shared" si="9"/>
        <v>14.784014784014785</v>
      </c>
      <c r="I24" s="67">
        <f t="shared" si="10"/>
        <v>22.176022176022176</v>
      </c>
      <c r="J24" s="74">
        <f t="shared" si="11"/>
        <v>29.568029568029569</v>
      </c>
    </row>
    <row r="25" spans="3:20">
      <c r="C25" s="73">
        <v>18</v>
      </c>
      <c r="D25" s="67">
        <f t="shared" si="5"/>
        <v>6.6528066528066532</v>
      </c>
      <c r="E25" s="79">
        <f t="shared" si="6"/>
        <v>9.1476091476091472</v>
      </c>
      <c r="F25" s="67">
        <f t="shared" si="7"/>
        <v>11.642411642411643</v>
      </c>
      <c r="G25" s="79">
        <f t="shared" si="8"/>
        <v>14.137214137214137</v>
      </c>
      <c r="H25" s="67">
        <f t="shared" si="9"/>
        <v>16.632016632016633</v>
      </c>
      <c r="I25" s="67">
        <f t="shared" si="10"/>
        <v>24.948024948024948</v>
      </c>
      <c r="J25" s="74">
        <f t="shared" si="11"/>
        <v>33.264033264033266</v>
      </c>
    </row>
    <row r="26" spans="3:20">
      <c r="C26" s="75">
        <v>20</v>
      </c>
      <c r="D26" s="76">
        <f t="shared" si="5"/>
        <v>7.3920073920073923</v>
      </c>
      <c r="E26" s="80">
        <f t="shared" si="6"/>
        <v>10.164010164010165</v>
      </c>
      <c r="F26" s="76">
        <f t="shared" si="7"/>
        <v>12.936012936012936</v>
      </c>
      <c r="G26" s="80">
        <f t="shared" si="8"/>
        <v>15.70801570801571</v>
      </c>
      <c r="H26" s="76">
        <f t="shared" si="9"/>
        <v>18.480018480018479</v>
      </c>
      <c r="I26" s="76">
        <f t="shared" si="10"/>
        <v>27.720027720027723</v>
      </c>
      <c r="J26" s="77">
        <f t="shared" si="11"/>
        <v>36.960036960036959</v>
      </c>
    </row>
    <row r="31" spans="3:20">
      <c r="M31" s="67"/>
      <c r="N31" s="81"/>
      <c r="O31" s="67"/>
      <c r="P31" s="67"/>
      <c r="Q31" s="67"/>
      <c r="R31" s="67"/>
      <c r="S31" s="67"/>
      <c r="T31" s="67"/>
    </row>
    <row r="32" spans="3:20">
      <c r="M32" s="67"/>
      <c r="N32" s="67"/>
      <c r="O32" s="67"/>
      <c r="P32" s="67"/>
      <c r="Q32" s="67"/>
      <c r="R32" s="67"/>
      <c r="S32" s="67"/>
      <c r="T32" s="67"/>
    </row>
    <row r="33" spans="13:20">
      <c r="M33" s="67"/>
      <c r="N33" s="67"/>
      <c r="O33" s="67"/>
      <c r="P33" s="67"/>
      <c r="Q33" s="67"/>
      <c r="R33" s="67"/>
      <c r="S33" s="67"/>
      <c r="T33" s="67"/>
    </row>
    <row r="34" spans="13:20">
      <c r="M34" s="67"/>
      <c r="N34" s="67"/>
      <c r="O34" s="67"/>
      <c r="P34" s="67"/>
      <c r="Q34" s="67"/>
      <c r="R34" s="67"/>
      <c r="S34" s="67"/>
      <c r="T34" s="67"/>
    </row>
    <row r="35" spans="13:20">
      <c r="M35" s="67"/>
      <c r="N35" s="67"/>
      <c r="O35" s="67"/>
      <c r="P35" s="67"/>
      <c r="Q35" s="67"/>
      <c r="R35" s="67"/>
      <c r="S35" s="67"/>
      <c r="T35" s="67"/>
    </row>
    <row r="36" spans="13:20">
      <c r="M36" s="67"/>
      <c r="N36" s="67"/>
      <c r="O36" s="67"/>
      <c r="P36" s="67"/>
      <c r="Q36" s="67"/>
      <c r="R36" s="67"/>
      <c r="S36" s="67"/>
      <c r="T36" s="67"/>
    </row>
    <row r="37" spans="13:20">
      <c r="M37" s="67"/>
      <c r="N37" s="67"/>
      <c r="O37" s="67"/>
      <c r="P37" s="67"/>
      <c r="Q37" s="67"/>
      <c r="R37" s="67"/>
      <c r="S37" s="67"/>
      <c r="T37" s="67"/>
    </row>
    <row r="38" spans="13:20">
      <c r="M38" s="67"/>
      <c r="N38" s="67"/>
      <c r="O38" s="67"/>
      <c r="P38" s="67"/>
      <c r="Q38" s="67"/>
      <c r="R38" s="67"/>
      <c r="S38" s="67"/>
      <c r="T38" s="67"/>
    </row>
    <row r="39" spans="13:20">
      <c r="M39" s="67"/>
      <c r="N39" s="67"/>
      <c r="O39" s="67"/>
      <c r="P39" s="67"/>
      <c r="Q39" s="67"/>
      <c r="R39" s="67"/>
      <c r="S39" s="67"/>
      <c r="T39" s="67"/>
    </row>
    <row r="40" spans="13:20">
      <c r="M40" s="67"/>
      <c r="N40" s="67"/>
      <c r="O40" s="67"/>
      <c r="P40" s="67"/>
      <c r="Q40" s="67"/>
      <c r="R40" s="67"/>
      <c r="S40" s="67"/>
      <c r="T40" s="67"/>
    </row>
    <row r="41" spans="13:20">
      <c r="M41" s="67"/>
      <c r="N41" s="67"/>
      <c r="O41" s="67"/>
      <c r="P41" s="67"/>
      <c r="Q41" s="67"/>
      <c r="R41" s="67"/>
      <c r="S41" s="67"/>
      <c r="T41" s="67"/>
    </row>
    <row r="42" spans="13:20">
      <c r="M42" s="67"/>
      <c r="N42" s="67"/>
      <c r="O42" s="67"/>
      <c r="P42" s="67"/>
      <c r="Q42" s="67"/>
      <c r="R42" s="67"/>
      <c r="S42" s="67"/>
      <c r="T42" s="67"/>
    </row>
    <row r="43" spans="13:20">
      <c r="M43" s="67"/>
      <c r="N43" s="67"/>
      <c r="O43" s="67"/>
      <c r="P43" s="67"/>
      <c r="Q43" s="67"/>
      <c r="R43" s="67"/>
      <c r="S43" s="67"/>
      <c r="T43" s="67"/>
    </row>
    <row r="44" spans="13:20">
      <c r="M44" s="67"/>
      <c r="N44" s="67"/>
      <c r="O44" s="67"/>
      <c r="P44" s="67"/>
      <c r="Q44" s="67"/>
      <c r="R44" s="67"/>
      <c r="S44" s="67"/>
      <c r="T44" s="67"/>
    </row>
    <row r="45" spans="13:20">
      <c r="M45" s="67"/>
      <c r="N45" s="67"/>
      <c r="O45" s="67"/>
      <c r="P45" s="67"/>
      <c r="Q45" s="67"/>
      <c r="R45" s="67"/>
      <c r="S45" s="36"/>
      <c r="T45" s="67"/>
    </row>
    <row r="46" spans="13:20">
      <c r="M46" s="67"/>
      <c r="N46" s="67"/>
      <c r="O46" s="67"/>
      <c r="P46" s="67"/>
      <c r="Q46" s="67"/>
      <c r="R46" s="67"/>
      <c r="S46" s="67"/>
      <c r="T46" s="67"/>
    </row>
    <row r="47" spans="13:20">
      <c r="M47" s="67"/>
      <c r="N47" s="67"/>
      <c r="O47" s="67"/>
      <c r="P47" s="67"/>
      <c r="Q47" s="67"/>
      <c r="R47" s="67"/>
      <c r="S47" s="67"/>
      <c r="T47" s="67"/>
    </row>
    <row r="48" spans="13:20">
      <c r="M48" s="67"/>
      <c r="N48" s="67"/>
      <c r="O48" s="67"/>
      <c r="P48" s="67"/>
      <c r="Q48" s="67"/>
      <c r="R48" s="67"/>
      <c r="S48" s="67"/>
      <c r="T48" s="67"/>
    </row>
    <row r="49" spans="13:20">
      <c r="M49" s="67"/>
      <c r="N49" s="67"/>
      <c r="O49" s="67"/>
      <c r="P49" s="67"/>
      <c r="Q49" s="67"/>
      <c r="R49" s="67"/>
      <c r="S49" s="67"/>
      <c r="T49" s="67"/>
    </row>
    <row r="50" spans="13:20">
      <c r="M50" s="67"/>
      <c r="N50" s="67"/>
      <c r="O50" s="67"/>
      <c r="P50" s="67"/>
      <c r="Q50" s="67"/>
      <c r="R50" s="67"/>
      <c r="S50" s="67"/>
      <c r="T50" s="67"/>
    </row>
    <row r="51" spans="13:20">
      <c r="M51" s="67"/>
      <c r="N51" s="67"/>
      <c r="O51" s="67"/>
      <c r="P51" s="67"/>
      <c r="Q51" s="67"/>
      <c r="R51" s="67"/>
      <c r="S51" s="67"/>
      <c r="T51" s="67"/>
    </row>
    <row r="52" spans="13:20">
      <c r="M52" s="67"/>
      <c r="N52" s="67"/>
      <c r="O52" s="67"/>
      <c r="P52" s="67"/>
      <c r="Q52" s="67"/>
      <c r="R52" s="67"/>
      <c r="S52" s="67"/>
      <c r="T52" s="67"/>
    </row>
    <row r="53" spans="13:20">
      <c r="M53" s="67"/>
      <c r="N53" s="67"/>
      <c r="O53" s="67"/>
      <c r="P53" s="67"/>
      <c r="Q53" s="67"/>
      <c r="R53" s="67"/>
      <c r="S53" s="67"/>
      <c r="T53" s="67"/>
    </row>
    <row r="54" spans="13:20">
      <c r="M54" s="67"/>
      <c r="N54" s="67"/>
      <c r="O54" s="67"/>
      <c r="P54" s="67"/>
      <c r="Q54" s="67"/>
      <c r="R54" s="67"/>
      <c r="S54" s="67"/>
      <c r="T54" s="67"/>
    </row>
    <row r="55" spans="13:20">
      <c r="M55" s="67"/>
      <c r="N55" s="67"/>
      <c r="O55" s="67"/>
      <c r="P55" s="67"/>
      <c r="Q55" s="67"/>
      <c r="R55" s="67"/>
      <c r="S55" s="67"/>
      <c r="T55" s="67"/>
    </row>
    <row r="56" spans="13:20">
      <c r="M56" s="67"/>
      <c r="N56" s="67"/>
      <c r="O56" s="67"/>
      <c r="P56" s="67"/>
      <c r="Q56" s="67"/>
      <c r="R56" s="67"/>
      <c r="S56" s="67"/>
      <c r="T56" s="67"/>
    </row>
  </sheetData>
  <phoneticPr fontId="1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R102"/>
  <sheetViews>
    <sheetView workbookViewId="0">
      <selection activeCell="S104" sqref="S104"/>
    </sheetView>
  </sheetViews>
  <sheetFormatPr baseColWidth="10" defaultRowHeight="15"/>
  <sheetData>
    <row r="1" spans="1:18" ht="24">
      <c r="A1" s="78"/>
      <c r="B1" s="95" t="s">
        <v>404</v>
      </c>
      <c r="C1" s="8"/>
      <c r="D1" s="8"/>
      <c r="E1" s="8"/>
      <c r="F1" s="8"/>
      <c r="G1" s="8"/>
    </row>
    <row r="7" spans="1:18" ht="16">
      <c r="F7" t="s">
        <v>292</v>
      </c>
      <c r="H7" s="82" t="s">
        <v>345</v>
      </c>
      <c r="I7" s="83"/>
      <c r="J7" s="83"/>
      <c r="K7" s="83"/>
      <c r="L7" s="83"/>
      <c r="M7" s="83"/>
      <c r="N7" s="84"/>
    </row>
    <row r="8" spans="1:18" ht="17">
      <c r="F8" t="s">
        <v>60</v>
      </c>
      <c r="H8" s="85" t="s">
        <v>285</v>
      </c>
      <c r="I8" s="86"/>
      <c r="J8" s="86"/>
      <c r="K8" s="86"/>
      <c r="L8" s="86"/>
      <c r="M8" s="86"/>
      <c r="N8" s="87"/>
      <c r="R8" s="7" t="s">
        <v>286</v>
      </c>
    </row>
    <row r="9" spans="1:18">
      <c r="O9" s="186" t="s">
        <v>45</v>
      </c>
      <c r="P9" s="186"/>
      <c r="R9" s="7">
        <f>($B$20*$B$17^2+$B$14*(($B$18/$B$17)-$B$17*$B$20))/2</f>
        <v>53.005000000000003</v>
      </c>
    </row>
    <row r="10" spans="1:18" ht="16">
      <c r="D10" s="2"/>
      <c r="E10" s="2"/>
      <c r="F10" s="2"/>
      <c r="G10" s="2"/>
      <c r="H10" s="2"/>
      <c r="I10" s="2"/>
      <c r="J10" s="2"/>
      <c r="K10" s="4" t="s">
        <v>287</v>
      </c>
      <c r="L10" s="2"/>
      <c r="M10" s="2"/>
      <c r="N10" s="2"/>
      <c r="O10" s="89">
        <v>1.5</v>
      </c>
      <c r="P10" s="89" t="s">
        <v>394</v>
      </c>
      <c r="R10" t="s">
        <v>33</v>
      </c>
    </row>
    <row r="11" spans="1:18" ht="16">
      <c r="D11" s="2"/>
      <c r="E11" s="2"/>
      <c r="F11" s="2"/>
      <c r="G11" s="2"/>
      <c r="H11" s="2"/>
      <c r="I11" s="2"/>
      <c r="J11" s="2"/>
      <c r="K11" s="4">
        <v>1.34</v>
      </c>
      <c r="M11" s="2" t="s">
        <v>113</v>
      </c>
      <c r="N11" s="2" t="s">
        <v>113</v>
      </c>
      <c r="O11" s="89" t="s">
        <v>116</v>
      </c>
      <c r="R11" s="93" t="s">
        <v>22</v>
      </c>
    </row>
    <row r="12" spans="1:18">
      <c r="A12" s="5" t="s">
        <v>261</v>
      </c>
      <c r="B12" s="5">
        <v>13</v>
      </c>
      <c r="D12" s="11" t="s">
        <v>425</v>
      </c>
      <c r="E12" s="12" t="s">
        <v>426</v>
      </c>
      <c r="F12" s="12" t="s">
        <v>262</v>
      </c>
      <c r="G12" s="12" t="s">
        <v>127</v>
      </c>
      <c r="H12" s="12" t="s">
        <v>128</v>
      </c>
      <c r="I12" s="13" t="s">
        <v>129</v>
      </c>
      <c r="J12" s="2" t="s">
        <v>24</v>
      </c>
      <c r="K12" s="2" t="s">
        <v>25</v>
      </c>
      <c r="L12" s="9" t="s">
        <v>26</v>
      </c>
      <c r="M12" s="9" t="s">
        <v>133</v>
      </c>
      <c r="N12" s="9" t="s">
        <v>268</v>
      </c>
      <c r="O12" s="89" t="s">
        <v>118</v>
      </c>
      <c r="P12" t="s">
        <v>269</v>
      </c>
    </row>
    <row r="13" spans="1:18">
      <c r="A13" s="5" t="s">
        <v>109</v>
      </c>
      <c r="B13" s="5">
        <v>4</v>
      </c>
      <c r="D13" s="35">
        <v>16.100000000000001</v>
      </c>
      <c r="E13" s="9">
        <f t="shared" ref="E13:E23" si="0">(0.5+(0.00000036*$B$16*$B$19^3*($B$13*0.0254)*($B$12*0.0254)^4)*($B$20+$B$21)*$D13-(0.25-(0.00000036*$B$16*$B$19^3*($B$13*0.0254)*($B$12*0.0254)^4)*(($B$20+$B$21)^2*$B$14-($B$20+$B$21)*$D13))^(1/2))/((0.00000036*$B$16*$B$19^3*($B$13*0.0254)*($B$12*0.0254)^4)*($B$20+$B$21)^2)</f>
        <v>21.274145563297751</v>
      </c>
      <c r="F13" s="36">
        <f t="shared" ref="F13:F23" si="1">D13*E13</f>
        <v>342.51374356909383</v>
      </c>
      <c r="G13" s="36">
        <f t="shared" ref="G13:G23" si="2">(D13-($B$20+$B$21)*E13)*(E13-$B$14)</f>
        <v>288.60097073336067</v>
      </c>
      <c r="H13" s="9">
        <f t="shared" ref="H13:H23" si="3">G13/F13*100</f>
        <v>84.259676042792847</v>
      </c>
      <c r="I13" s="37">
        <f t="shared" ref="I13:I23" si="4">$B$19*(D13-(E13*($B$20+$B$21)))</f>
        <v>8531.1032725830937</v>
      </c>
      <c r="J13" s="38">
        <f t="shared" ref="J13:J23" si="5">(($B$12*0.0254)^4)*($B$13*0.0254)*(I13^3)*2*$B$16*0.00000018</f>
        <v>288.60097073335987</v>
      </c>
      <c r="K13" s="36">
        <f t="shared" ref="K13:K23" si="6">$K$11*0.6*((0.6*3.1416*($B$12*0.0254)^2*J13^2)^(1/3))/9.81*1000</f>
        <v>2112.2127438201092</v>
      </c>
      <c r="L13" s="2">
        <f t="shared" ref="L13:L23" si="7">K13/F13</f>
        <v>6.1667970511496319</v>
      </c>
      <c r="M13" s="38">
        <f t="shared" ref="M13:M23" si="8">1.30652287/($B$12*0.0254)*POWER(K13*0.00981,3/2)</f>
        <v>373.2071420406109</v>
      </c>
      <c r="N13" s="38">
        <f t="shared" ref="N13:N23" si="9">POWER(I13/$B$15,3)*100</f>
        <v>335.26717179808657</v>
      </c>
      <c r="O13" s="38">
        <f t="shared" ref="O13:O23" si="10">0.65*60*O$10/E13</f>
        <v>2.7498166648311582</v>
      </c>
      <c r="P13" s="33">
        <f t="shared" ref="P13:P23" si="11">($B$20*$B$14+SQRT($B$20^2*$B$14^2+4*$B$20*($R$9-(D13*$B$14))))/(2*$B$20)</f>
        <v>21.077901123967152</v>
      </c>
    </row>
    <row r="14" spans="1:18">
      <c r="A14" s="94" t="s">
        <v>63</v>
      </c>
      <c r="B14" s="8">
        <v>0.3</v>
      </c>
      <c r="D14" s="56">
        <v>14.8</v>
      </c>
      <c r="E14" s="9">
        <f t="shared" si="0"/>
        <v>18.386293107565738</v>
      </c>
      <c r="F14" s="36">
        <f t="shared" si="1"/>
        <v>272.11713799197292</v>
      </c>
      <c r="G14" s="36">
        <f t="shared" si="2"/>
        <v>231.09775049841744</v>
      </c>
      <c r="H14" s="36">
        <f t="shared" si="3"/>
        <v>84.925834588644875</v>
      </c>
      <c r="I14" s="37">
        <f t="shared" si="4"/>
        <v>7922.0548100640162</v>
      </c>
      <c r="J14" s="38">
        <f t="shared" si="5"/>
        <v>231.09775049841755</v>
      </c>
      <c r="K14" s="121">
        <f t="shared" si="6"/>
        <v>1821.3899905946764</v>
      </c>
      <c r="L14" s="38">
        <f t="shared" si="7"/>
        <v>6.6934041862824714</v>
      </c>
      <c r="M14" s="38">
        <f t="shared" si="8"/>
        <v>298.84629554906456</v>
      </c>
      <c r="N14" s="38">
        <f t="shared" si="9"/>
        <v>268.46579559875443</v>
      </c>
      <c r="O14" s="38">
        <f t="shared" si="10"/>
        <v>3.1817180144880837</v>
      </c>
      <c r="P14" s="34">
        <f t="shared" si="11"/>
        <v>21.16243679348019</v>
      </c>
    </row>
    <row r="15" spans="1:18">
      <c r="A15" s="4" t="s">
        <v>270</v>
      </c>
      <c r="B15" s="4">
        <v>5700</v>
      </c>
      <c r="D15" s="56">
        <v>12.585000000000001</v>
      </c>
      <c r="E15" s="9">
        <f t="shared" si="0"/>
        <v>13.853588819428309</v>
      </c>
      <c r="F15" s="36">
        <f t="shared" si="1"/>
        <v>174.34741529250527</v>
      </c>
      <c r="G15" s="36">
        <f t="shared" si="2"/>
        <v>149.91767217398962</v>
      </c>
      <c r="H15" s="9">
        <f t="shared" si="3"/>
        <v>85.987894872126716</v>
      </c>
      <c r="I15" s="37">
        <f t="shared" si="4"/>
        <v>6857.8852425149898</v>
      </c>
      <c r="J15" s="38">
        <f t="shared" si="5"/>
        <v>149.91767217398987</v>
      </c>
      <c r="K15" s="65">
        <f t="shared" si="6"/>
        <v>1364.9215384005931</v>
      </c>
      <c r="L15" s="2">
        <f t="shared" si="7"/>
        <v>7.8287454741479463</v>
      </c>
      <c r="M15" s="38">
        <f t="shared" si="8"/>
        <v>193.86749057448191</v>
      </c>
      <c r="N15" s="38">
        <f t="shared" si="9"/>
        <v>174.15906060400636</v>
      </c>
      <c r="O15" s="38">
        <f t="shared" si="10"/>
        <v>4.2227325180865369</v>
      </c>
      <c r="P15" s="34">
        <f t="shared" si="11"/>
        <v>21.305694483776918</v>
      </c>
    </row>
    <row r="16" spans="1:18">
      <c r="A16" s="4" t="s">
        <v>271</v>
      </c>
      <c r="B16" s="4">
        <v>1.069</v>
      </c>
      <c r="D16" s="56">
        <v>13</v>
      </c>
      <c r="E16" s="9">
        <f t="shared" si="0"/>
        <v>14.663934028564501</v>
      </c>
      <c r="F16" s="36">
        <f t="shared" si="1"/>
        <v>190.63114237133851</v>
      </c>
      <c r="G16" s="36">
        <f t="shared" si="2"/>
        <v>163.56164646293101</v>
      </c>
      <c r="H16" s="36">
        <f t="shared" si="3"/>
        <v>85.800066257968652</v>
      </c>
      <c r="I16" s="37">
        <f t="shared" si="4"/>
        <v>7059.919699251901</v>
      </c>
      <c r="J16" s="38">
        <f t="shared" si="5"/>
        <v>163.56164646293092</v>
      </c>
      <c r="K16" s="64">
        <f t="shared" si="6"/>
        <v>1446.5277937050346</v>
      </c>
      <c r="L16" s="38">
        <f t="shared" si="7"/>
        <v>7.5880980185665656</v>
      </c>
      <c r="M16" s="38">
        <f t="shared" si="8"/>
        <v>211.51132814547842</v>
      </c>
      <c r="N16" s="38">
        <f t="shared" si="9"/>
        <v>190.00923830893652</v>
      </c>
      <c r="O16" s="38">
        <f t="shared" si="10"/>
        <v>3.9893796498296679</v>
      </c>
      <c r="P16" s="34">
        <f t="shared" si="11"/>
        <v>21.278927822042725</v>
      </c>
    </row>
    <row r="17" spans="1:16">
      <c r="A17" s="5" t="s">
        <v>137</v>
      </c>
      <c r="B17" s="5">
        <v>30</v>
      </c>
      <c r="D17" s="56">
        <v>12</v>
      </c>
      <c r="E17" s="9">
        <f t="shared" si="0"/>
        <v>12.743048173825981</v>
      </c>
      <c r="F17" s="36">
        <f t="shared" si="1"/>
        <v>152.91657808591177</v>
      </c>
      <c r="G17" s="36">
        <f t="shared" si="2"/>
        <v>131.87471823199854</v>
      </c>
      <c r="H17" s="9">
        <f t="shared" si="3"/>
        <v>86.239647710340833</v>
      </c>
      <c r="I17" s="37">
        <f t="shared" si="4"/>
        <v>6570.9241145450678</v>
      </c>
      <c r="J17" s="38">
        <f t="shared" si="5"/>
        <v>131.87471823199823</v>
      </c>
      <c r="K17" s="64">
        <f t="shared" si="6"/>
        <v>1253.0839382899001</v>
      </c>
      <c r="L17" s="2">
        <f t="shared" si="7"/>
        <v>8.1945591117392844</v>
      </c>
      <c r="M17" s="38">
        <f t="shared" si="8"/>
        <v>170.53506983608318</v>
      </c>
      <c r="N17" s="38">
        <f t="shared" si="9"/>
        <v>153.19859701428553</v>
      </c>
      <c r="O17" s="38">
        <f t="shared" si="10"/>
        <v>4.5907383541214317</v>
      </c>
      <c r="P17" s="34">
        <f t="shared" si="11"/>
        <v>21.343368388162453</v>
      </c>
    </row>
    <row r="18" spans="1:16" ht="17">
      <c r="A18" s="5" t="s">
        <v>138</v>
      </c>
      <c r="B18" s="5">
        <v>800</v>
      </c>
      <c r="D18" s="56">
        <v>11</v>
      </c>
      <c r="E18" s="9">
        <f t="shared" si="0"/>
        <v>10.93340445284405</v>
      </c>
      <c r="F18" s="36">
        <f t="shared" si="1"/>
        <v>120.26744898128455</v>
      </c>
      <c r="G18" s="36">
        <f t="shared" si="2"/>
        <v>104.17892470598667</v>
      </c>
      <c r="H18" s="36">
        <f t="shared" si="3"/>
        <v>86.622710956643402</v>
      </c>
      <c r="I18" s="37">
        <f t="shared" si="4"/>
        <v>6074.341816316035</v>
      </c>
      <c r="J18" s="38">
        <f t="shared" si="5"/>
        <v>104.17892470598565</v>
      </c>
      <c r="K18" s="64">
        <f t="shared" si="6"/>
        <v>1070.8427824966027</v>
      </c>
      <c r="L18" s="38">
        <f t="shared" si="7"/>
        <v>8.9038454841030354</v>
      </c>
      <c r="M18" s="38">
        <f t="shared" si="8"/>
        <v>134.71998604712476</v>
      </c>
      <c r="N18" s="38">
        <f t="shared" si="9"/>
        <v>121.0244489420363</v>
      </c>
      <c r="O18" s="38">
        <f t="shared" si="10"/>
        <v>5.3505749514994569</v>
      </c>
      <c r="P18" s="34">
        <f t="shared" si="11"/>
        <v>21.407613609331516</v>
      </c>
    </row>
    <row r="19" spans="1:16">
      <c r="A19" s="5" t="s">
        <v>139</v>
      </c>
      <c r="B19" s="5">
        <v>620</v>
      </c>
      <c r="D19" s="56">
        <v>10</v>
      </c>
      <c r="E19" s="9">
        <f t="shared" si="0"/>
        <v>9.2403470884682548</v>
      </c>
      <c r="F19" s="36">
        <f t="shared" si="1"/>
        <v>92.403470884682548</v>
      </c>
      <c r="G19" s="36">
        <f t="shared" si="2"/>
        <v>80.316160763911981</v>
      </c>
      <c r="H19" s="9">
        <f t="shared" si="3"/>
        <v>86.918986911373423</v>
      </c>
      <c r="I19" s="37">
        <f t="shared" si="4"/>
        <v>5569.8083285664643</v>
      </c>
      <c r="J19" s="38">
        <f t="shared" si="5"/>
        <v>80.316160763911839</v>
      </c>
      <c r="K19" s="64">
        <f t="shared" si="6"/>
        <v>900.34251919574081</v>
      </c>
      <c r="L19" s="2">
        <f t="shared" si="7"/>
        <v>9.7436006523970082</v>
      </c>
      <c r="M19" s="38">
        <f t="shared" si="8"/>
        <v>103.86162160926146</v>
      </c>
      <c r="N19" s="38">
        <f t="shared" si="9"/>
        <v>93.303123688643197</v>
      </c>
      <c r="O19" s="38">
        <f t="shared" si="10"/>
        <v>6.3309310180573934</v>
      </c>
      <c r="P19" s="34">
        <f t="shared" si="11"/>
        <v>21.47166525135664</v>
      </c>
    </row>
    <row r="20" spans="1:16">
      <c r="A20" s="5" t="s">
        <v>140</v>
      </c>
      <c r="B20" s="8">
        <v>0.11</v>
      </c>
      <c r="D20" s="56">
        <v>9.61</v>
      </c>
      <c r="E20" s="9">
        <f t="shared" si="0"/>
        <v>8.6128892372689432</v>
      </c>
      <c r="F20" s="36">
        <f t="shared" si="1"/>
        <v>82.769865570154536</v>
      </c>
      <c r="G20" s="36">
        <f t="shared" si="2"/>
        <v>72.011086203503453</v>
      </c>
      <c r="H20" s="36">
        <f t="shared" si="3"/>
        <v>87.001574434681061</v>
      </c>
      <c r="I20" s="37">
        <f t="shared" si="4"/>
        <v>5370.8009540182575</v>
      </c>
      <c r="J20" s="38">
        <f t="shared" si="5"/>
        <v>72.011086203503709</v>
      </c>
      <c r="K20" s="65">
        <f t="shared" si="6"/>
        <v>837.15403480607245</v>
      </c>
      <c r="L20" s="38">
        <f t="shared" si="7"/>
        <v>10.114236975490952</v>
      </c>
      <c r="M20" s="38">
        <f t="shared" si="8"/>
        <v>93.121833959732939</v>
      </c>
      <c r="N20" s="38">
        <f t="shared" si="9"/>
        <v>83.655135144582445</v>
      </c>
      <c r="O20" s="38">
        <f t="shared" si="10"/>
        <v>6.7921458628382103</v>
      </c>
      <c r="P20" s="34">
        <f t="shared" si="11"/>
        <v>21.49659329856981</v>
      </c>
    </row>
    <row r="21" spans="1:16">
      <c r="A21" s="5" t="s">
        <v>250</v>
      </c>
      <c r="B21" s="5">
        <v>0</v>
      </c>
      <c r="D21" s="56">
        <v>9</v>
      </c>
      <c r="E21" s="9">
        <f t="shared" si="0"/>
        <v>7.6696624284672792</v>
      </c>
      <c r="F21" s="36">
        <f t="shared" si="1"/>
        <v>69.026961856205517</v>
      </c>
      <c r="G21" s="36">
        <f t="shared" si="2"/>
        <v>60.109451322014245</v>
      </c>
      <c r="H21" s="9">
        <f t="shared" si="3"/>
        <v>87.081119761915772</v>
      </c>
      <c r="I21" s="37">
        <f t="shared" si="4"/>
        <v>5056.929022378531</v>
      </c>
      <c r="J21" s="38">
        <f t="shared" si="5"/>
        <v>60.109451322014067</v>
      </c>
      <c r="K21" s="64">
        <f t="shared" si="6"/>
        <v>742.16586568846913</v>
      </c>
      <c r="L21" s="2">
        <f t="shared" si="7"/>
        <v>10.751825746503552</v>
      </c>
      <c r="M21" s="38">
        <f t="shared" si="8"/>
        <v>77.731119477918682</v>
      </c>
      <c r="N21" s="38">
        <f t="shared" si="9"/>
        <v>69.829029652452661</v>
      </c>
      <c r="O21" s="38">
        <f t="shared" si="10"/>
        <v>7.6274543430838788</v>
      </c>
      <c r="P21" s="34">
        <f t="shared" si="11"/>
        <v>21.535525053600669</v>
      </c>
    </row>
    <row r="22" spans="1:16">
      <c r="D22" s="56">
        <v>8</v>
      </c>
      <c r="E22" s="9">
        <f t="shared" si="0"/>
        <v>6.2276319133087972</v>
      </c>
      <c r="F22" s="36">
        <f t="shared" si="1"/>
        <v>49.821055306470377</v>
      </c>
      <c r="G22" s="36">
        <f t="shared" si="2"/>
        <v>43.360393242366726</v>
      </c>
      <c r="H22" s="36">
        <f t="shared" si="3"/>
        <v>87.032265727087903</v>
      </c>
      <c r="I22" s="37">
        <f t="shared" si="4"/>
        <v>4535.27550351234</v>
      </c>
      <c r="J22" s="38">
        <f t="shared" si="5"/>
        <v>43.360393242366982</v>
      </c>
      <c r="K22" s="64">
        <f t="shared" si="6"/>
        <v>596.94539785568008</v>
      </c>
      <c r="L22" s="38">
        <f t="shared" si="7"/>
        <v>11.981789510150207</v>
      </c>
      <c r="M22" s="38">
        <f t="shared" si="8"/>
        <v>56.071912712628496</v>
      </c>
      <c r="N22" s="38">
        <f t="shared" si="9"/>
        <v>50.371682304050026</v>
      </c>
      <c r="O22" s="38">
        <f t="shared" si="10"/>
        <v>9.3936187646193794</v>
      </c>
      <c r="P22" s="34">
        <f t="shared" si="11"/>
        <v>21.599194729533661</v>
      </c>
    </row>
    <row r="23" spans="1:16">
      <c r="D23" s="56">
        <v>7.56</v>
      </c>
      <c r="E23" s="9">
        <f t="shared" si="0"/>
        <v>5.6356362356448155</v>
      </c>
      <c r="F23" s="36">
        <f t="shared" si="1"/>
        <v>42.605409941474804</v>
      </c>
      <c r="G23" s="36">
        <f t="shared" si="2"/>
        <v>37.029742401394671</v>
      </c>
      <c r="H23" s="9">
        <f t="shared" si="3"/>
        <v>86.913240483452256</v>
      </c>
      <c r="I23" s="37">
        <f t="shared" si="4"/>
        <v>4302.8496087290232</v>
      </c>
      <c r="J23" s="38">
        <f t="shared" si="5"/>
        <v>37.029742401394302</v>
      </c>
      <c r="K23" s="66">
        <f t="shared" si="6"/>
        <v>537.32815095163653</v>
      </c>
      <c r="L23" s="2">
        <f t="shared" si="7"/>
        <v>12.611735262957</v>
      </c>
      <c r="M23" s="38">
        <f t="shared" si="8"/>
        <v>47.885370229376527</v>
      </c>
      <c r="N23" s="38">
        <f t="shared" si="9"/>
        <v>43.017377854897489</v>
      </c>
      <c r="O23" s="38">
        <f t="shared" si="10"/>
        <v>10.380371896609217</v>
      </c>
      <c r="P23" s="34">
        <f t="shared" si="11"/>
        <v>21.627149590796602</v>
      </c>
    </row>
    <row r="24" spans="1:16">
      <c r="D24" s="60">
        <v>6.5</v>
      </c>
      <c r="E24" s="17">
        <f>(0.5+(0.00000036*$B$16*$B$19^3*($B$13*0.0254)*($B$12*0.0254)^4)*($B$20+$B$21)*$D24-(0.25-(0.00000036*$B$16*$B$19^3*($B$13*0.0254)*($B$12*0.0254)^4)*(($B$20+$B$21)^2*$B$14-($B$20+$B$21)*$D24))^(1/2))/((0.00000036*$B$16*$B$19^3*($B$13*0.0254)*($B$12*0.0254)^4)*($B$20+$B$21)^2)</f>
        <v>4.3209402216716377</v>
      </c>
      <c r="F24" s="61">
        <f>D24*E24</f>
        <v>28.086111440865643</v>
      </c>
      <c r="G24" s="61">
        <f>(D24-($B$20+$B$21)*E24)*(E24-$B$14)</f>
        <v>24.224944784262238</v>
      </c>
      <c r="H24" s="61">
        <f>G24/F24*100</f>
        <v>86.252398575242566</v>
      </c>
      <c r="I24" s="62">
        <f>$B$19*(D24-(E24*($B$20+$B$21)))</f>
        <v>3735.3118768819941</v>
      </c>
      <c r="J24" s="38">
        <f>(($B$12*0.0254)^4)*($B$13*0.0254)*(I24^3)*2*$B$16*0.00000018</f>
        <v>24.224944784261943</v>
      </c>
      <c r="K24" s="38">
        <f>$K$11*0.6*((0.6*3.1416*($B$12*0.0254)^2*J24^2)^(1/3))/9.81*1000</f>
        <v>404.93097336062579</v>
      </c>
      <c r="L24" s="38">
        <f>K24/F24</f>
        <v>14.417480832588529</v>
      </c>
      <c r="M24" s="38">
        <f>1.30652287/($B$12*0.0254)*POWER(K24*0.00981,3/2)</f>
        <v>31.326722103713813</v>
      </c>
      <c r="N24" s="38">
        <f>POWER(I24/$B$15,3)*100</f>
        <v>28.142070015031635</v>
      </c>
      <c r="O24" s="38">
        <f>0.65*60*O$10/E24</f>
        <v>13.538720046760602</v>
      </c>
      <c r="P24" s="34">
        <f>($B$20*$B$14+SQRT($B$20^2*$B$14^2+4*$B$20*($R$9-(D24*$B$14))))/(2*$B$20)</f>
        <v>21.694346442544123</v>
      </c>
    </row>
    <row r="26" spans="1:16">
      <c r="D26" s="36"/>
      <c r="E26" s="9"/>
      <c r="F26" s="9"/>
      <c r="G26" s="36"/>
      <c r="H26" s="9"/>
      <c r="I26" s="36"/>
      <c r="J26" s="36"/>
      <c r="K26" s="36"/>
      <c r="L26" s="9"/>
      <c r="M26" s="36"/>
      <c r="N26" s="36"/>
      <c r="O26" s="36"/>
      <c r="P26" s="88"/>
    </row>
    <row r="27" spans="1:16">
      <c r="D27" s="36"/>
      <c r="E27" s="9"/>
      <c r="F27" s="9"/>
      <c r="G27" s="36"/>
      <c r="H27" s="9"/>
      <c r="I27" s="36"/>
      <c r="J27" s="36"/>
      <c r="K27" s="36"/>
      <c r="L27" s="9"/>
      <c r="M27" s="36"/>
      <c r="N27" s="36"/>
      <c r="O27" s="36"/>
      <c r="P27" s="88"/>
    </row>
    <row r="28" spans="1:16">
      <c r="D28" s="36"/>
      <c r="E28" s="9"/>
      <c r="F28" s="9"/>
      <c r="G28" s="36"/>
      <c r="H28" s="9"/>
      <c r="I28" s="36"/>
      <c r="J28" s="36"/>
      <c r="K28" s="36"/>
      <c r="L28" s="9"/>
      <c r="M28" s="36"/>
      <c r="N28" s="36"/>
      <c r="O28" s="36"/>
      <c r="P28" s="88"/>
    </row>
    <row r="29" spans="1:16">
      <c r="H29" s="57" t="s">
        <v>141</v>
      </c>
      <c r="I29" s="90"/>
      <c r="J29" s="90"/>
      <c r="K29" s="91"/>
    </row>
    <row r="30" spans="1:16">
      <c r="O30" s="186" t="s">
        <v>407</v>
      </c>
      <c r="P30" s="186"/>
    </row>
    <row r="31" spans="1:16">
      <c r="D31" s="2"/>
      <c r="E31" s="2"/>
      <c r="F31" s="2"/>
      <c r="G31" s="2"/>
      <c r="H31" s="2"/>
      <c r="I31" s="2"/>
      <c r="J31" s="2"/>
      <c r="K31" s="4" t="s">
        <v>142</v>
      </c>
      <c r="L31" s="2"/>
      <c r="M31" s="2"/>
      <c r="N31" s="2"/>
      <c r="O31" s="89">
        <v>1.25</v>
      </c>
      <c r="P31" s="89" t="s">
        <v>394</v>
      </c>
    </row>
    <row r="32" spans="1:16">
      <c r="D32" s="2"/>
      <c r="E32" s="2"/>
      <c r="F32" s="2"/>
      <c r="G32" s="2"/>
      <c r="H32" s="2"/>
      <c r="I32" s="2"/>
      <c r="J32" s="2"/>
      <c r="K32" s="4">
        <v>1.34</v>
      </c>
      <c r="M32" s="2" t="s">
        <v>113</v>
      </c>
      <c r="N32" s="2" t="s">
        <v>113</v>
      </c>
      <c r="O32" s="89" t="s">
        <v>116</v>
      </c>
    </row>
    <row r="33" spans="1:16">
      <c r="A33" s="5" t="s">
        <v>249</v>
      </c>
      <c r="B33" s="5">
        <v>13</v>
      </c>
      <c r="D33" s="11" t="s">
        <v>425</v>
      </c>
      <c r="E33" s="12" t="s">
        <v>426</v>
      </c>
      <c r="F33" s="12" t="s">
        <v>262</v>
      </c>
      <c r="G33" s="12" t="s">
        <v>127</v>
      </c>
      <c r="H33" s="12" t="s">
        <v>128</v>
      </c>
      <c r="I33" s="13" t="s">
        <v>129</v>
      </c>
      <c r="J33" s="2" t="s">
        <v>24</v>
      </c>
      <c r="K33" s="2" t="s">
        <v>25</v>
      </c>
      <c r="L33" s="9" t="s">
        <v>26</v>
      </c>
      <c r="M33" s="9" t="s">
        <v>133</v>
      </c>
      <c r="N33" s="9" t="s">
        <v>268</v>
      </c>
      <c r="O33" s="89" t="s">
        <v>118</v>
      </c>
      <c r="P33" t="s">
        <v>137</v>
      </c>
    </row>
    <row r="34" spans="1:16">
      <c r="A34" s="5" t="s">
        <v>143</v>
      </c>
      <c r="B34" s="5">
        <v>6.5</v>
      </c>
      <c r="D34" s="35">
        <v>13.2</v>
      </c>
      <c r="E34" s="9">
        <f t="shared" ref="E34:E44" si="12">(0.5+(0.00000036*$B$37*$B$19^3*($B$34*0.0254)*($B$33*0.0254)^4)*($B$20+$B$21)*$D34-(0.25-(0.00000036*$B$37*$B$19^3*($B$34*0.0254)*($B$33*0.0254)^4)*(($B$20+$B$21)^2*$B$14-($B$20+$B$21)*$D34))^(1/2))/((0.00000036*$B$37*$B$19^3*($B$34*0.0254)*($B$33*0.0254)^4)*($B$20+$B$21)^2)</f>
        <v>21.328476906574906</v>
      </c>
      <c r="F34" s="36">
        <f t="shared" ref="F34:F43" si="13">D34*E34</f>
        <v>281.53589516678875</v>
      </c>
      <c r="G34" s="36">
        <f t="shared" ref="G34:G43" si="14">(D34-($B$20+$B$21)*E34)*(E34-$B$14)</f>
        <v>228.24030291773281</v>
      </c>
      <c r="H34" s="9">
        <f t="shared" ref="H34:H43" si="15">G34/F34*100</f>
        <v>81.069699045841986</v>
      </c>
      <c r="I34" s="37">
        <f t="shared" ref="I34:I43" si="16">$B$19*(D34-(E34*($B$20+$B$21)))</f>
        <v>6729.3978749715907</v>
      </c>
      <c r="J34" s="38">
        <f t="shared" ref="J34:J43" si="17">(($B$33*0.0254)^4)*($B$34*0.0254)*(I34^3)*2*$B$37*0.00000018</f>
        <v>228.24030291773227</v>
      </c>
      <c r="K34" s="36">
        <f t="shared" ref="K34:K43" si="18">$K$32*0.6*((0.6*3.1416*($B$33*0.0254)^2*J34^2)^(1/3))/9.81*1000</f>
        <v>1806.3449540081374</v>
      </c>
      <c r="L34" s="2">
        <f t="shared" ref="L34:L43" si="19">K34/F34</f>
        <v>6.4160378304088521</v>
      </c>
      <c r="M34" s="38">
        <f t="shared" ref="M34:M43" si="20">1.30652287/($B$33*0.0254)*POWER(K34*0.00981,3/2)</f>
        <v>295.15115951951992</v>
      </c>
      <c r="N34" s="38">
        <f t="shared" ref="N34:N43" si="21">POWER(I34/$B$36,3)*100</f>
        <v>263.84066710802421</v>
      </c>
      <c r="O34" s="38">
        <f t="shared" ref="O34:O43" si="22">0.65*60*O$10/E34</f>
        <v>2.74281188742391</v>
      </c>
      <c r="P34" s="33">
        <f t="shared" ref="P34:P43" si="23">($B$20*$B$14+SQRT($B$20^2*$B$14^2+4*$B$20*($R$9-(D34*$B$14))))/(2*$B$20)</f>
        <v>21.266016110138686</v>
      </c>
    </row>
    <row r="35" spans="1:16">
      <c r="A35" s="94"/>
      <c r="B35" s="5"/>
      <c r="D35" s="56">
        <v>13.1</v>
      </c>
      <c r="E35" s="9">
        <f t="shared" si="12"/>
        <v>21.057409947519591</v>
      </c>
      <c r="F35" s="36">
        <f t="shared" si="13"/>
        <v>275.85207031250667</v>
      </c>
      <c r="G35" s="36">
        <f t="shared" si="14"/>
        <v>223.84136833400609</v>
      </c>
      <c r="H35" s="36">
        <f t="shared" si="15"/>
        <v>81.145437146953867</v>
      </c>
      <c r="I35" s="37">
        <f t="shared" si="16"/>
        <v>6685.8846415791631</v>
      </c>
      <c r="J35" s="38">
        <f t="shared" si="17"/>
        <v>223.84136833400558</v>
      </c>
      <c r="K35" s="63">
        <f t="shared" si="18"/>
        <v>1783.0603178519721</v>
      </c>
      <c r="L35" s="38">
        <f t="shared" si="19"/>
        <v>6.4638279344142049</v>
      </c>
      <c r="M35" s="38">
        <f t="shared" si="20"/>
        <v>289.4626346339503</v>
      </c>
      <c r="N35" s="38">
        <f t="shared" si="21"/>
        <v>258.75559746739481</v>
      </c>
      <c r="O35" s="38">
        <f t="shared" si="22"/>
        <v>2.7781194432647149</v>
      </c>
      <c r="P35" s="34">
        <f t="shared" si="23"/>
        <v>21.272472952672082</v>
      </c>
    </row>
    <row r="36" spans="1:16">
      <c r="A36" s="4" t="s">
        <v>144</v>
      </c>
      <c r="B36" s="4">
        <v>4870</v>
      </c>
      <c r="D36" s="56">
        <v>12</v>
      </c>
      <c r="E36" s="9">
        <f t="shared" si="12"/>
        <v>18.158989214624722</v>
      </c>
      <c r="F36" s="36">
        <f t="shared" si="13"/>
        <v>217.90787057549664</v>
      </c>
      <c r="G36" s="36">
        <f t="shared" si="14"/>
        <v>178.634739396925</v>
      </c>
      <c r="H36" s="9">
        <f t="shared" si="15"/>
        <v>81.977185553302434</v>
      </c>
      <c r="I36" s="37">
        <f t="shared" si="16"/>
        <v>6201.5569355625939</v>
      </c>
      <c r="J36" s="38">
        <f t="shared" si="17"/>
        <v>178.63473939692486</v>
      </c>
      <c r="K36" s="64">
        <f t="shared" si="18"/>
        <v>1534.086143986809</v>
      </c>
      <c r="L36" s="2">
        <f t="shared" si="19"/>
        <v>7.0400676209412429</v>
      </c>
      <c r="M36" s="38">
        <f t="shared" si="20"/>
        <v>231.00324434144204</v>
      </c>
      <c r="N36" s="38">
        <f t="shared" si="21"/>
        <v>206.49774912076248</v>
      </c>
      <c r="O36" s="38">
        <f t="shared" si="22"/>
        <v>3.2215449499185671</v>
      </c>
      <c r="P36" s="34">
        <f t="shared" si="23"/>
        <v>21.343368388162453</v>
      </c>
    </row>
    <row r="37" spans="1:16">
      <c r="A37" s="4" t="s">
        <v>145</v>
      </c>
      <c r="B37" s="4">
        <v>1.06</v>
      </c>
      <c r="D37" s="56">
        <v>11</v>
      </c>
      <c r="E37" s="9">
        <f t="shared" si="12"/>
        <v>15.662596042880224</v>
      </c>
      <c r="F37" s="36">
        <f t="shared" si="13"/>
        <v>172.28855647168245</v>
      </c>
      <c r="G37" s="36">
        <f t="shared" si="14"/>
        <v>142.52056151282832</v>
      </c>
      <c r="H37" s="36">
        <f t="shared" si="15"/>
        <v>82.722012669630303</v>
      </c>
      <c r="I37" s="37">
        <f t="shared" si="16"/>
        <v>5751.8109498755693</v>
      </c>
      <c r="J37" s="38">
        <f t="shared" si="17"/>
        <v>142.52056151282872</v>
      </c>
      <c r="K37" s="64">
        <f t="shared" si="18"/>
        <v>1319.6461144480534</v>
      </c>
      <c r="L37" s="38">
        <f t="shared" si="19"/>
        <v>7.6595111217671148</v>
      </c>
      <c r="M37" s="38">
        <f t="shared" si="20"/>
        <v>184.30184524004312</v>
      </c>
      <c r="N37" s="38">
        <f t="shared" si="21"/>
        <v>164.75057010289979</v>
      </c>
      <c r="O37" s="38">
        <f t="shared" si="22"/>
        <v>3.7350130106044874</v>
      </c>
      <c r="P37" s="34">
        <f t="shared" si="23"/>
        <v>21.407613609331516</v>
      </c>
    </row>
    <row r="38" spans="1:16">
      <c r="A38" s="5"/>
      <c r="B38" s="5"/>
      <c r="D38" s="56">
        <v>10</v>
      </c>
      <c r="E38" s="9">
        <f t="shared" si="12"/>
        <v>13.306862269208017</v>
      </c>
      <c r="F38" s="36">
        <f t="shared" si="13"/>
        <v>133.06862269208017</v>
      </c>
      <c r="G38" s="36">
        <f t="shared" si="14"/>
        <v>111.02976496728012</v>
      </c>
      <c r="H38" s="9">
        <f t="shared" si="15"/>
        <v>83.43797562570569</v>
      </c>
      <c r="I38" s="37">
        <f t="shared" si="16"/>
        <v>5292.4719932400139</v>
      </c>
      <c r="J38" s="38">
        <f t="shared" si="17"/>
        <v>111.02976496727968</v>
      </c>
      <c r="K38" s="64">
        <f t="shared" si="18"/>
        <v>1117.2887190948488</v>
      </c>
      <c r="L38" s="2">
        <f t="shared" si="19"/>
        <v>8.3963348871525252</v>
      </c>
      <c r="M38" s="38">
        <f t="shared" si="20"/>
        <v>143.5792165202493</v>
      </c>
      <c r="N38" s="38">
        <f t="shared" si="21"/>
        <v>128.34791613632362</v>
      </c>
      <c r="O38" s="38">
        <f t="shared" si="22"/>
        <v>4.3962279624227101</v>
      </c>
      <c r="P38" s="34">
        <f t="shared" si="23"/>
        <v>21.47166525135664</v>
      </c>
    </row>
    <row r="39" spans="1:16">
      <c r="A39" s="5"/>
      <c r="B39" s="5"/>
      <c r="D39" s="56">
        <v>9</v>
      </c>
      <c r="E39" s="9">
        <f t="shared" si="12"/>
        <v>11.1011919932625</v>
      </c>
      <c r="F39" s="36">
        <f t="shared" si="13"/>
        <v>99.910727939362502</v>
      </c>
      <c r="G39" s="36">
        <f t="shared" si="14"/>
        <v>84.021056271299869</v>
      </c>
      <c r="H39" s="36">
        <f t="shared" si="15"/>
        <v>84.096130620020759</v>
      </c>
      <c r="I39" s="37">
        <f t="shared" si="16"/>
        <v>4822.8987060594982</v>
      </c>
      <c r="J39" s="38">
        <f t="shared" si="17"/>
        <v>84.021056271299415</v>
      </c>
      <c r="K39" s="64">
        <f t="shared" si="18"/>
        <v>927.82176954539204</v>
      </c>
      <c r="L39" s="38">
        <f t="shared" si="19"/>
        <v>9.2865079524643512</v>
      </c>
      <c r="M39" s="38">
        <f t="shared" si="20"/>
        <v>108.65264313755949</v>
      </c>
      <c r="N39" s="38">
        <f t="shared" si="21"/>
        <v>97.126455119238301</v>
      </c>
      <c r="O39" s="38">
        <f t="shared" si="22"/>
        <v>5.2697043736838918</v>
      </c>
      <c r="P39" s="34">
        <f t="shared" si="23"/>
        <v>21.535525053600669</v>
      </c>
    </row>
    <row r="40" spans="1:16">
      <c r="A40" s="5"/>
      <c r="B40" s="5"/>
      <c r="D40" s="56">
        <v>8.3800000000000008</v>
      </c>
      <c r="E40" s="9">
        <f t="shared" si="12"/>
        <v>9.8135928916830437</v>
      </c>
      <c r="F40" s="36">
        <f t="shared" si="13"/>
        <v>82.237908432303911</v>
      </c>
      <c r="G40" s="36">
        <f t="shared" si="14"/>
        <v>69.454030398923337</v>
      </c>
      <c r="H40" s="9">
        <f t="shared" si="15"/>
        <v>84.455005876147823</v>
      </c>
      <c r="I40" s="37">
        <f t="shared" si="16"/>
        <v>4526.3129647872174</v>
      </c>
      <c r="J40" s="38">
        <f t="shared" si="17"/>
        <v>69.454030398923152</v>
      </c>
      <c r="K40" s="65">
        <f t="shared" si="18"/>
        <v>817.2170809482742</v>
      </c>
      <c r="L40" s="2">
        <f t="shared" si="19"/>
        <v>9.9372308528613154</v>
      </c>
      <c r="M40" s="38">
        <f t="shared" si="20"/>
        <v>89.815152466455743</v>
      </c>
      <c r="N40" s="38">
        <f t="shared" si="21"/>
        <v>80.287300181151338</v>
      </c>
      <c r="O40" s="38">
        <f t="shared" si="22"/>
        <v>5.9611195049244774</v>
      </c>
      <c r="P40" s="34">
        <f t="shared" si="23"/>
        <v>21.57502254162387</v>
      </c>
    </row>
    <row r="41" spans="1:16">
      <c r="A41" s="5"/>
      <c r="B41" s="5"/>
      <c r="D41" s="56">
        <v>8</v>
      </c>
      <c r="E41" s="9">
        <f t="shared" si="12"/>
        <v>9.05608638474658</v>
      </c>
      <c r="F41" s="36">
        <f t="shared" si="13"/>
        <v>72.44869107797264</v>
      </c>
      <c r="G41" s="36">
        <f t="shared" si="14"/>
        <v>61.326144861790112</v>
      </c>
      <c r="H41" s="36">
        <f t="shared" si="15"/>
        <v>84.647691972499643</v>
      </c>
      <c r="I41" s="37">
        <f t="shared" si="16"/>
        <v>4342.3749085602831</v>
      </c>
      <c r="J41" s="38">
        <f t="shared" si="17"/>
        <v>61.326144861790247</v>
      </c>
      <c r="K41" s="64">
        <f t="shared" si="18"/>
        <v>752.14731567178342</v>
      </c>
      <c r="L41" s="38">
        <f t="shared" si="19"/>
        <v>10.381793024559789</v>
      </c>
      <c r="M41" s="38">
        <f t="shared" si="20"/>
        <v>79.304498519455763</v>
      </c>
      <c r="N41" s="38">
        <f t="shared" si="21"/>
        <v>70.891646938140312</v>
      </c>
      <c r="O41" s="38">
        <f t="shared" si="22"/>
        <v>6.4597440345239185</v>
      </c>
      <c r="P41" s="34">
        <f t="shared" si="23"/>
        <v>21.599194729533661</v>
      </c>
    </row>
    <row r="42" spans="1:16">
      <c r="A42" s="5"/>
      <c r="B42" s="5"/>
      <c r="D42" s="56">
        <v>7</v>
      </c>
      <c r="E42" s="9">
        <f t="shared" si="12"/>
        <v>7.1833316857463272</v>
      </c>
      <c r="F42" s="36">
        <f t="shared" si="13"/>
        <v>50.283321800224293</v>
      </c>
      <c r="G42" s="36">
        <f t="shared" si="14"/>
        <v>42.744343794034734</v>
      </c>
      <c r="H42" s="9">
        <f t="shared" si="15"/>
        <v>85.007000857775608</v>
      </c>
      <c r="I42" s="37">
        <f t="shared" si="16"/>
        <v>3850.0967790321006</v>
      </c>
      <c r="J42" s="38">
        <f t="shared" si="17"/>
        <v>42.744343794034741</v>
      </c>
      <c r="K42" s="64">
        <f t="shared" si="18"/>
        <v>591.2777949897378</v>
      </c>
      <c r="L42" s="2">
        <f t="shared" si="19"/>
        <v>11.758924705469644</v>
      </c>
      <c r="M42" s="38">
        <f t="shared" si="20"/>
        <v>55.275262398585774</v>
      </c>
      <c r="N42" s="38">
        <f t="shared" si="21"/>
        <v>49.411501989540518</v>
      </c>
      <c r="O42" s="38">
        <f t="shared" si="22"/>
        <v>8.1438533760148957</v>
      </c>
      <c r="P42" s="34">
        <f t="shared" si="23"/>
        <v>21.66267596726933</v>
      </c>
    </row>
    <row r="43" spans="1:16">
      <c r="A43" s="2"/>
      <c r="B43" s="2"/>
      <c r="D43" s="56">
        <v>6.51</v>
      </c>
      <c r="E43" s="9">
        <f t="shared" si="12"/>
        <v>6.3325633376379624</v>
      </c>
      <c r="F43" s="36">
        <f t="shared" si="13"/>
        <v>41.224987328023133</v>
      </c>
      <c r="G43" s="36">
        <f t="shared" si="14"/>
        <v>35.069812491393577</v>
      </c>
      <c r="H43" s="9">
        <f t="shared" si="15"/>
        <v>85.069310543012563</v>
      </c>
      <c r="I43" s="37">
        <f t="shared" si="16"/>
        <v>3604.3191803730906</v>
      </c>
      <c r="J43" s="38">
        <f t="shared" si="17"/>
        <v>35.069812491393293</v>
      </c>
      <c r="K43" s="66">
        <f t="shared" si="18"/>
        <v>518.19684293300668</v>
      </c>
      <c r="L43" s="2">
        <f t="shared" si="19"/>
        <v>12.56996973242868</v>
      </c>
      <c r="M43" s="38">
        <f t="shared" si="20"/>
        <v>45.350867873224765</v>
      </c>
      <c r="N43" s="38">
        <f t="shared" si="21"/>
        <v>40.539916065646175</v>
      </c>
      <c r="O43" s="38">
        <f t="shared" si="22"/>
        <v>9.23796524107415</v>
      </c>
      <c r="P43" s="34">
        <f t="shared" si="23"/>
        <v>21.693713489301025</v>
      </c>
    </row>
    <row r="44" spans="1:16">
      <c r="D44" s="60">
        <v>5.7</v>
      </c>
      <c r="E44" s="17">
        <f t="shared" si="12"/>
        <v>5.0285085519435322</v>
      </c>
      <c r="F44" s="61">
        <f>D44*E44</f>
        <v>28.662498746078136</v>
      </c>
      <c r="G44" s="61">
        <f>(D44-($B$20+$B$21)*E44)*(E44-$B$14)</f>
        <v>24.336990720025653</v>
      </c>
      <c r="H44" s="17">
        <f>G44/F44*100</f>
        <v>84.908824368830238</v>
      </c>
      <c r="I44" s="62">
        <f>$B$19*(D44-(E44*($B$20+$B$21)))</f>
        <v>3191.0557167574511</v>
      </c>
      <c r="J44" s="38">
        <f>(($B$33*0.0254)^4)*($B$34*0.0254)*(I44^3)*2*$B$37*0.00000018</f>
        <v>24.3369907200257</v>
      </c>
      <c r="K44" s="36">
        <f>$K$32*0.6*((0.6*3.1416*($B$33*0.0254)^2*J44^2)^(1/3))/9.81*1000</f>
        <v>406.17861201906504</v>
      </c>
      <c r="L44" s="2">
        <f>K44/F44</f>
        <v>14.171081719616023</v>
      </c>
      <c r="M44" s="38">
        <f>1.30652287/($B$33*0.0254)*POWER(K44*0.00981,3/2)</f>
        <v>31.471615391346894</v>
      </c>
      <c r="N44" s="38">
        <f>POWER(I44/$B$36,3)*100</f>
        <v>28.133015006064969</v>
      </c>
      <c r="O44" s="38">
        <f>0.65*60*O$10/E44</f>
        <v>11.633668193204045</v>
      </c>
      <c r="P44" s="34">
        <f>($B$20*$B$14+SQRT($B$20^2*$B$14^2+4*$B$20*($R$9-(D44*$B$14))))/(2*$B$20)</f>
        <v>21.744922593475113</v>
      </c>
    </row>
    <row r="47" spans="1:16">
      <c r="D47" s="36"/>
      <c r="E47" s="9"/>
      <c r="F47" s="9"/>
      <c r="G47" s="36"/>
      <c r="H47" s="9"/>
      <c r="I47" s="36"/>
      <c r="J47" s="36"/>
      <c r="K47" s="36"/>
      <c r="L47" s="9"/>
      <c r="M47" s="36"/>
      <c r="N47" s="36"/>
      <c r="O47" s="36"/>
      <c r="P47" s="88"/>
    </row>
    <row r="49" spans="1:16">
      <c r="H49" s="57" t="s">
        <v>280</v>
      </c>
      <c r="I49" s="90"/>
      <c r="J49" s="90"/>
      <c r="K49" s="91"/>
    </row>
    <row r="50" spans="1:16">
      <c r="O50" s="186" t="s">
        <v>407</v>
      </c>
      <c r="P50" s="186"/>
    </row>
    <row r="51" spans="1:16">
      <c r="D51" s="2"/>
      <c r="E51" s="2"/>
      <c r="F51" s="2"/>
      <c r="G51" s="2"/>
      <c r="H51" s="2"/>
      <c r="I51" s="2"/>
      <c r="J51" s="2"/>
      <c r="K51" s="4" t="s">
        <v>397</v>
      </c>
      <c r="L51" s="2"/>
      <c r="M51" s="2"/>
      <c r="N51" s="2"/>
      <c r="O51" s="89">
        <v>1.25</v>
      </c>
      <c r="P51" s="89" t="s">
        <v>394</v>
      </c>
    </row>
    <row r="52" spans="1:16">
      <c r="D52" s="2"/>
      <c r="E52" s="2"/>
      <c r="F52" s="2"/>
      <c r="G52" s="2"/>
      <c r="H52" s="2"/>
      <c r="I52" s="2"/>
      <c r="J52" s="2"/>
      <c r="K52" s="4">
        <v>1.165</v>
      </c>
      <c r="M52" s="2" t="s">
        <v>398</v>
      </c>
      <c r="N52" s="2" t="s">
        <v>399</v>
      </c>
      <c r="O52" s="89" t="s">
        <v>116</v>
      </c>
    </row>
    <row r="53" spans="1:16">
      <c r="A53" s="5" t="s">
        <v>400</v>
      </c>
      <c r="B53" s="5">
        <v>14</v>
      </c>
      <c r="D53" s="11" t="s">
        <v>425</v>
      </c>
      <c r="E53" s="12" t="s">
        <v>426</v>
      </c>
      <c r="F53" s="12" t="s">
        <v>262</v>
      </c>
      <c r="G53" s="12" t="s">
        <v>127</v>
      </c>
      <c r="H53" s="12" t="s">
        <v>128</v>
      </c>
      <c r="I53" s="13" t="s">
        <v>129</v>
      </c>
      <c r="J53" s="2" t="s">
        <v>24</v>
      </c>
      <c r="K53" s="2" t="s">
        <v>25</v>
      </c>
      <c r="L53" s="9" t="s">
        <v>26</v>
      </c>
      <c r="M53" s="9" t="s">
        <v>133</v>
      </c>
      <c r="N53" s="9" t="s">
        <v>268</v>
      </c>
      <c r="O53" s="89" t="s">
        <v>118</v>
      </c>
      <c r="P53" t="s">
        <v>137</v>
      </c>
    </row>
    <row r="54" spans="1:16">
      <c r="A54" s="5" t="s">
        <v>143</v>
      </c>
      <c r="B54" s="5">
        <v>4.7</v>
      </c>
      <c r="D54" s="35">
        <v>14.1</v>
      </c>
      <c r="E54" s="9">
        <f t="shared" ref="E54:E64" si="24">(0.5+(0.00000036*$B$57*$B$19^3*($B$54*0.0254)*($B$53*0.0254)^4)*($B$20+$B$21)*$D54-(0.25-(0.00000036*$B$57*$B$19^3*($B$54*0.0254)*($B$53*0.0254)^4)*(($B$20+$B$21)^2*$B$14-($B$20+$B$21)*$D54))^(1/2))/((0.00000036*$B$57*$B$19^3*($B$54*0.0254)*($B$53*0.0254)^4)*($B$20+$B$21)^2)</f>
        <v>21.452042398971351</v>
      </c>
      <c r="F54" s="36">
        <f t="shared" ref="F54:F62" si="25">D54*E54</f>
        <v>302.47379782549604</v>
      </c>
      <c r="G54" s="36">
        <f t="shared" ref="G54:G62" si="26">(D54-($B$20+$B$21)*E54)*(E54-$B$14)</f>
        <v>248.33080168506297</v>
      </c>
      <c r="H54" s="9">
        <f t="shared" ref="H54:H62" si="27">G54/F54*100</f>
        <v>82.099938398079232</v>
      </c>
      <c r="I54" s="37">
        <f t="shared" ref="I54:I62" si="28">$B$19*(D54-(E54*($B$20+$B$21)))</f>
        <v>7278.970708390153</v>
      </c>
      <c r="J54" s="38">
        <f t="shared" ref="J54:J62" si="29">(($B$53*0.0254)^4)*($B$54*0.0254)*(I54^3)*2*$B$57*0.00000018</f>
        <v>248.33080168506319</v>
      </c>
      <c r="K54" s="36">
        <f>$K$52*0.6*((0.6*3.1416*($B$53*0.0254)^2*J54^2)^(1/3))/9.81*1000</f>
        <v>1745.4353864925761</v>
      </c>
      <c r="L54" s="2">
        <f t="shared" ref="L54:L62" si="30">K54/F54</f>
        <v>5.7705341720196115</v>
      </c>
      <c r="M54" s="38">
        <f t="shared" ref="M54:M62" si="31">1.30652287/($B$53*0.0254)*POWER(K54*0.00981,3/2)</f>
        <v>260.32413843792136</v>
      </c>
      <c r="N54" s="38">
        <f t="shared" ref="N54:N62" si="32">POWER(I54/$B$56,3)*100</f>
        <v>274.28362732685179</v>
      </c>
      <c r="O54" s="38">
        <f t="shared" ref="O54:O62" si="33">0.65*60*O$10/E54</f>
        <v>2.7270130699911883</v>
      </c>
      <c r="P54" s="33">
        <f t="shared" ref="P54:P62" si="34">($B$20*$B$14+SQRT($B$20^2*$B$14^2+4*$B$20*($R$9-(D54*$B$14))))/(2*$B$20)</f>
        <v>21.207815435345879</v>
      </c>
    </row>
    <row r="55" spans="1:16">
      <c r="A55" s="94"/>
      <c r="B55" s="5"/>
      <c r="D55" s="56">
        <v>14</v>
      </c>
      <c r="E55" s="9">
        <f t="shared" si="24"/>
        <v>21.1945565340224</v>
      </c>
      <c r="F55" s="36">
        <f t="shared" si="25"/>
        <v>296.72379147631358</v>
      </c>
      <c r="G55" s="36">
        <f t="shared" si="26"/>
        <v>243.81019690781045</v>
      </c>
      <c r="H55" s="36">
        <f t="shared" si="27"/>
        <v>82.16739065471026</v>
      </c>
      <c r="I55" s="37">
        <f t="shared" si="28"/>
        <v>7234.5312443796729</v>
      </c>
      <c r="J55" s="38">
        <f t="shared" si="29"/>
        <v>243.81019690781153</v>
      </c>
      <c r="K55" s="63">
        <f t="shared" ref="K55:K62" si="35">$K$52*0.6*((0.6*3.1416*($B$53*0.0254)^2*J55^2)^(1/3))/9.81*1000</f>
        <v>1724.1880321366075</v>
      </c>
      <c r="L55" s="38">
        <f t="shared" si="30"/>
        <v>5.8107508789845168</v>
      </c>
      <c r="M55" s="38">
        <f t="shared" si="31"/>
        <v>255.58520739968117</v>
      </c>
      <c r="N55" s="38">
        <f t="shared" si="32"/>
        <v>269.29057826647716</v>
      </c>
      <c r="O55" s="38">
        <f t="shared" si="33"/>
        <v>2.7601426765449575</v>
      </c>
      <c r="P55" s="34">
        <f t="shared" si="34"/>
        <v>21.214290118155375</v>
      </c>
    </row>
    <row r="56" spans="1:16">
      <c r="A56" s="4" t="s">
        <v>340</v>
      </c>
      <c r="B56" s="4">
        <v>5200</v>
      </c>
      <c r="D56" s="56">
        <v>13</v>
      </c>
      <c r="E56" s="9">
        <f t="shared" si="24"/>
        <v>18.683017670549454</v>
      </c>
      <c r="F56" s="36">
        <f t="shared" si="25"/>
        <v>242.87922971714289</v>
      </c>
      <c r="G56" s="36">
        <f t="shared" si="26"/>
        <v>201.19970287968408</v>
      </c>
      <c r="H56" s="9">
        <f t="shared" si="27"/>
        <v>82.839402576334436</v>
      </c>
      <c r="I56" s="37">
        <f t="shared" si="28"/>
        <v>6785.8181948685269</v>
      </c>
      <c r="J56" s="38">
        <f t="shared" si="29"/>
        <v>201.19970287968371</v>
      </c>
      <c r="K56" s="64">
        <f t="shared" si="35"/>
        <v>1516.9395440629253</v>
      </c>
      <c r="L56" s="2">
        <f t="shared" si="30"/>
        <v>6.2456536354695817</v>
      </c>
      <c r="M56" s="38">
        <f t="shared" si="31"/>
        <v>210.91680512731932</v>
      </c>
      <c r="N56" s="38">
        <f t="shared" si="32"/>
        <v>222.22690036217068</v>
      </c>
      <c r="O56" s="38">
        <f t="shared" si="33"/>
        <v>3.1311858197412685</v>
      </c>
      <c r="P56" s="34">
        <f t="shared" si="34"/>
        <v>21.278927822042725</v>
      </c>
    </row>
    <row r="57" spans="1:16">
      <c r="A57" s="4" t="s">
        <v>110</v>
      </c>
      <c r="B57" s="4">
        <v>0.93700000000000006</v>
      </c>
      <c r="D57" s="56">
        <v>12</v>
      </c>
      <c r="E57" s="9">
        <f t="shared" si="24"/>
        <v>16.291016224231718</v>
      </c>
      <c r="F57" s="36">
        <f t="shared" si="25"/>
        <v>195.49219469078062</v>
      </c>
      <c r="G57" s="36">
        <f t="shared" si="26"/>
        <v>163.23610516818036</v>
      </c>
      <c r="H57" s="9">
        <f t="shared" si="27"/>
        <v>83.500062714206436</v>
      </c>
      <c r="I57" s="37">
        <f t="shared" si="28"/>
        <v>6328.9526935073973</v>
      </c>
      <c r="J57" s="38">
        <f t="shared" si="29"/>
        <v>163.23610516818053</v>
      </c>
      <c r="K57" s="64">
        <f t="shared" si="35"/>
        <v>1319.555107600783</v>
      </c>
      <c r="L57" s="2">
        <f t="shared" si="30"/>
        <v>6.7499119833811605</v>
      </c>
      <c r="M57" s="38">
        <f t="shared" si="31"/>
        <v>171.11972478452515</v>
      </c>
      <c r="N57" s="38">
        <f t="shared" si="32"/>
        <v>180.29576167123159</v>
      </c>
      <c r="O57" s="38">
        <f t="shared" si="33"/>
        <v>3.5909362064832666</v>
      </c>
      <c r="P57" s="34">
        <f t="shared" si="34"/>
        <v>21.343368388162453</v>
      </c>
    </row>
    <row r="58" spans="1:16">
      <c r="A58" s="5"/>
      <c r="B58" s="5"/>
      <c r="D58" s="56">
        <v>11</v>
      </c>
      <c r="E58" s="9">
        <f t="shared" si="24"/>
        <v>14.025314530242932</v>
      </c>
      <c r="F58" s="36">
        <f t="shared" si="25"/>
        <v>154.27845983267224</v>
      </c>
      <c r="G58" s="36">
        <f t="shared" si="26"/>
        <v>129.80325596822348</v>
      </c>
      <c r="H58" s="9">
        <f t="shared" si="27"/>
        <v>84.135696006432696</v>
      </c>
      <c r="I58" s="37">
        <f t="shared" si="28"/>
        <v>5863.4735490374323</v>
      </c>
      <c r="J58" s="38">
        <f t="shared" si="29"/>
        <v>129.80325596822382</v>
      </c>
      <c r="K58" s="64">
        <f t="shared" si="35"/>
        <v>1132.5927406892786</v>
      </c>
      <c r="L58" s="2">
        <f t="shared" si="30"/>
        <v>7.3412240562789464</v>
      </c>
      <c r="M58" s="38">
        <f t="shared" si="31"/>
        <v>136.0722091141113</v>
      </c>
      <c r="N58" s="38">
        <f t="shared" si="32"/>
        <v>143.36887588738344</v>
      </c>
      <c r="O58" s="38">
        <f t="shared" si="33"/>
        <v>4.1710294534825465</v>
      </c>
      <c r="P58" s="34">
        <f t="shared" si="34"/>
        <v>21.407613609331516</v>
      </c>
    </row>
    <row r="59" spans="1:16">
      <c r="A59" s="5"/>
      <c r="B59" s="5"/>
      <c r="D59" s="56">
        <v>10</v>
      </c>
      <c r="E59" s="9">
        <f t="shared" si="24"/>
        <v>11.89333762445429</v>
      </c>
      <c r="F59" s="36">
        <f t="shared" si="25"/>
        <v>118.9333762445429</v>
      </c>
      <c r="G59" s="36">
        <f t="shared" si="26"/>
        <v>100.76619360273128</v>
      </c>
      <c r="H59" s="9">
        <f t="shared" si="27"/>
        <v>84.724907998527286</v>
      </c>
      <c r="I59" s="37">
        <f t="shared" si="28"/>
        <v>5388.8743740122172</v>
      </c>
      <c r="J59" s="38">
        <f t="shared" si="29"/>
        <v>100.76619360273121</v>
      </c>
      <c r="K59" s="64">
        <f t="shared" si="35"/>
        <v>956.66514635306999</v>
      </c>
      <c r="L59" s="2">
        <f t="shared" si="30"/>
        <v>8.0437062880148869</v>
      </c>
      <c r="M59" s="38">
        <f t="shared" si="31"/>
        <v>105.63277835573302</v>
      </c>
      <c r="N59" s="38">
        <f t="shared" si="32"/>
        <v>111.29717661173785</v>
      </c>
      <c r="O59" s="38">
        <f t="shared" si="33"/>
        <v>4.9187201984173212</v>
      </c>
      <c r="P59" s="34">
        <f t="shared" si="34"/>
        <v>21.47166525135664</v>
      </c>
    </row>
    <row r="60" spans="1:16">
      <c r="A60" s="5"/>
      <c r="B60" s="5"/>
      <c r="D60" s="56">
        <v>9.16</v>
      </c>
      <c r="E60" s="9">
        <f t="shared" si="24"/>
        <v>10.211781037351127</v>
      </c>
      <c r="F60" s="36">
        <f t="shared" si="25"/>
        <v>93.539914302136324</v>
      </c>
      <c r="G60" s="36">
        <f t="shared" si="26"/>
        <v>79.658051161340452</v>
      </c>
      <c r="H60" s="9">
        <f t="shared" si="27"/>
        <v>85.159422857757704</v>
      </c>
      <c r="I60" s="37">
        <f t="shared" si="28"/>
        <v>4982.7565332526528</v>
      </c>
      <c r="J60" s="38">
        <f t="shared" si="29"/>
        <v>79.658051161340509</v>
      </c>
      <c r="K60" s="65">
        <f t="shared" si="35"/>
        <v>817.90557334548873</v>
      </c>
      <c r="L60" s="2">
        <f t="shared" si="30"/>
        <v>8.7439204904938528</v>
      </c>
      <c r="M60" s="38">
        <f t="shared" si="31"/>
        <v>83.505201116850117</v>
      </c>
      <c r="N60" s="38">
        <f t="shared" si="32"/>
        <v>87.983041451416568</v>
      </c>
      <c r="O60" s="38">
        <f t="shared" si="33"/>
        <v>5.7286774741866715</v>
      </c>
      <c r="P60" s="34">
        <f t="shared" si="34"/>
        <v>21.525320305946725</v>
      </c>
    </row>
    <row r="61" spans="1:16">
      <c r="A61" s="5"/>
      <c r="B61" s="5"/>
      <c r="D61" s="56">
        <v>8</v>
      </c>
      <c r="E61" s="9">
        <f t="shared" si="24"/>
        <v>8.0641578524346915</v>
      </c>
      <c r="F61" s="36">
        <f t="shared" si="25"/>
        <v>64.513262819477532</v>
      </c>
      <c r="G61" s="36">
        <f t="shared" si="26"/>
        <v>55.226009423019626</v>
      </c>
      <c r="H61" s="9">
        <f t="shared" si="27"/>
        <v>85.604117679730891</v>
      </c>
      <c r="I61" s="37">
        <f t="shared" si="28"/>
        <v>4410.0244344639541</v>
      </c>
      <c r="J61" s="38">
        <f t="shared" si="29"/>
        <v>55.226009423019775</v>
      </c>
      <c r="K61" s="64">
        <f t="shared" si="35"/>
        <v>640.68687109916084</v>
      </c>
      <c r="L61" s="2">
        <f t="shared" si="30"/>
        <v>9.9310877034997489</v>
      </c>
      <c r="M61" s="38">
        <f t="shared" si="31"/>
        <v>57.893194178323668</v>
      </c>
      <c r="N61" s="38">
        <f t="shared" si="32"/>
        <v>60.997629309565717</v>
      </c>
      <c r="O61" s="38">
        <f t="shared" si="33"/>
        <v>7.2543222826842317</v>
      </c>
      <c r="P61" s="34">
        <f t="shared" si="34"/>
        <v>21.599194729533661</v>
      </c>
    </row>
    <row r="62" spans="1:16">
      <c r="A62" s="5"/>
      <c r="B62" s="5"/>
      <c r="D62" s="56">
        <v>7.5</v>
      </c>
      <c r="E62" s="9">
        <f t="shared" si="24"/>
        <v>7.2043123041816077</v>
      </c>
      <c r="F62" s="36">
        <f t="shared" si="25"/>
        <v>54.032342281362055</v>
      </c>
      <c r="G62" s="36">
        <f t="shared" si="26"/>
        <v>46.310851852019972</v>
      </c>
      <c r="H62" s="9">
        <f t="shared" si="27"/>
        <v>85.709502673169254</v>
      </c>
      <c r="I62" s="37">
        <f t="shared" si="28"/>
        <v>4158.665900854814</v>
      </c>
      <c r="J62" s="38">
        <f t="shared" si="29"/>
        <v>46.310851852019702</v>
      </c>
      <c r="K62" s="64">
        <f t="shared" si="35"/>
        <v>569.73368281923706</v>
      </c>
      <c r="L62" s="2">
        <f t="shared" si="30"/>
        <v>10.544308441275204</v>
      </c>
      <c r="M62" s="38">
        <f t="shared" si="31"/>
        <v>48.547471867757388</v>
      </c>
      <c r="N62" s="38">
        <f t="shared" si="32"/>
        <v>51.150756750174217</v>
      </c>
      <c r="O62" s="38">
        <f t="shared" si="33"/>
        <v>8.1201365973605526</v>
      </c>
      <c r="P62" s="34">
        <f t="shared" si="34"/>
        <v>21.630958798645164</v>
      </c>
    </row>
    <row r="63" spans="1:16">
      <c r="A63" s="2"/>
      <c r="B63" s="2"/>
      <c r="D63" s="56">
        <v>7.12</v>
      </c>
      <c r="E63" s="9">
        <f t="shared" si="24"/>
        <v>6.5785751615721795</v>
      </c>
      <c r="F63" s="36">
        <f>D63*E63</f>
        <v>46.839455150393917</v>
      </c>
      <c r="G63" s="36">
        <f>(D63-($B$20+$B$21)*E63)*(E63-$B$14)</f>
        <v>40.160006503515817</v>
      </c>
      <c r="H63" s="9">
        <f>G63/F63*100</f>
        <v>85.739696105705178</v>
      </c>
      <c r="I63" s="37">
        <f>$B$19*(D63-(E63*($B$20+$B$21)))</f>
        <v>3965.7411739807771</v>
      </c>
      <c r="J63" s="38">
        <f>(($B$53*0.0254)^4)*($B$54*0.0254)*(I63^3)*2*$B$57*0.00000018</f>
        <v>40.160006503515604</v>
      </c>
      <c r="K63" s="66">
        <f>$K$52*0.6*((0.6*3.1416*($B$53*0.0254)^2*J63^2)^(1/3))/9.81*1000</f>
        <v>518.09877538323701</v>
      </c>
      <c r="L63" s="2">
        <f>K63/F63</f>
        <v>11.061161444335884</v>
      </c>
      <c r="M63" s="38">
        <f>1.30652287/($B$53*0.0254)*POWER(K63*0.00981,3/2)</f>
        <v>42.099566472417386</v>
      </c>
      <c r="N63" s="38">
        <f>POWER(I63/$B$56,3)*100</f>
        <v>44.357092162992735</v>
      </c>
      <c r="O63" s="38">
        <f>0.65*60*O$10/E63</f>
        <v>8.8925030972845782</v>
      </c>
      <c r="P63" s="34">
        <f>($B$20*$B$14+SQRT($B$20^2*$B$14^2+4*$B$20*($R$9-(D63*$B$14))))/(2*$B$20)</f>
        <v>21.655068113015929</v>
      </c>
    </row>
    <row r="64" spans="1:16">
      <c r="A64" s="2"/>
      <c r="B64" s="2"/>
      <c r="D64" s="60">
        <v>6.2</v>
      </c>
      <c r="E64" s="17">
        <f t="shared" si="24"/>
        <v>5.1670247199381372</v>
      </c>
      <c r="F64" s="61">
        <f>D64*E64</f>
        <v>32.03555326361645</v>
      </c>
      <c r="G64" s="61">
        <f>(D64-($B$20+$B$21)*E64)*(E64-$B$14)</f>
        <v>27.409269189164714</v>
      </c>
      <c r="H64" s="17">
        <f>G64/F64*100</f>
        <v>85.558906892031374</v>
      </c>
      <c r="I64" s="62">
        <f>$B$19*(D64-(E64*($B$20+$B$21)))</f>
        <v>3491.6089141002194</v>
      </c>
      <c r="J64" s="38">
        <f>(($B$53*0.0254)^4)*($B$54*0.0254)*(I64^3)*2*$B$57*0.00000018</f>
        <v>27.409269189164505</v>
      </c>
      <c r="K64" s="36">
        <f>$K$52*0.6*((0.6*3.1416*($B$53*0.0254)^2*J64^2)^(1/3))/9.81*1000</f>
        <v>401.61971184055488</v>
      </c>
      <c r="L64" s="2">
        <f>K64/F64</f>
        <v>12.536687240444325</v>
      </c>
      <c r="M64" s="38">
        <f>1.30652287/($B$53*0.0254)*POWER(K64*0.00981,3/2)</f>
        <v>28.733021995118413</v>
      </c>
      <c r="N64" s="38">
        <f>POWER(I64/$B$56,3)*100</f>
        <v>30.273786918774942</v>
      </c>
      <c r="O64" s="38">
        <f>0.65*60*O$10/E64</f>
        <v>11.321796037527067</v>
      </c>
      <c r="P64" s="34">
        <f>($B$20*$B$14+SQRT($B$20^2*$B$14^2+4*$B$20*($R$9-(D64*$B$14))))/(2*$B$20)</f>
        <v>21.713326400501053</v>
      </c>
    </row>
    <row r="65" spans="1:16">
      <c r="A65" s="2"/>
      <c r="B65" s="2"/>
    </row>
    <row r="66" spans="1:16">
      <c r="A66" s="2"/>
      <c r="B66" s="2"/>
    </row>
    <row r="69" spans="1:16">
      <c r="H69" s="57" t="s">
        <v>168</v>
      </c>
      <c r="I69" s="58"/>
      <c r="J69" s="58"/>
      <c r="K69" s="58"/>
      <c r="L69" s="58"/>
      <c r="M69" s="59"/>
    </row>
    <row r="70" spans="1:16">
      <c r="O70" s="186" t="s">
        <v>407</v>
      </c>
      <c r="P70" s="186"/>
    </row>
    <row r="71" spans="1:16">
      <c r="D71" s="2"/>
      <c r="E71" s="2"/>
      <c r="F71" s="2"/>
      <c r="G71" s="2"/>
      <c r="H71" s="2"/>
      <c r="I71" s="2"/>
      <c r="J71" s="2"/>
      <c r="K71" s="4" t="s">
        <v>111</v>
      </c>
      <c r="L71" s="2"/>
      <c r="M71" s="2"/>
      <c r="N71" s="2"/>
      <c r="O71" s="89">
        <v>1.25</v>
      </c>
      <c r="P71" s="89" t="s">
        <v>394</v>
      </c>
    </row>
    <row r="72" spans="1:16">
      <c r="D72" s="2"/>
      <c r="E72" s="2"/>
      <c r="F72" s="2"/>
      <c r="G72" s="2"/>
      <c r="H72" s="2"/>
      <c r="I72" s="2"/>
      <c r="J72" s="2"/>
      <c r="K72" s="4">
        <v>1.29</v>
      </c>
      <c r="M72" s="2" t="s">
        <v>113</v>
      </c>
      <c r="N72" s="2" t="s">
        <v>113</v>
      </c>
      <c r="O72" s="89" t="s">
        <v>116</v>
      </c>
    </row>
    <row r="73" spans="1:16">
      <c r="A73" s="5" t="s">
        <v>249</v>
      </c>
      <c r="B73" s="5">
        <v>15</v>
      </c>
      <c r="D73" s="11" t="s">
        <v>425</v>
      </c>
      <c r="E73" s="12" t="s">
        <v>426</v>
      </c>
      <c r="F73" s="12" t="s">
        <v>262</v>
      </c>
      <c r="G73" s="12" t="s">
        <v>127</v>
      </c>
      <c r="H73" s="12" t="s">
        <v>128</v>
      </c>
      <c r="I73" s="13" t="s">
        <v>129</v>
      </c>
      <c r="J73" s="2" t="s">
        <v>24</v>
      </c>
      <c r="K73" s="2" t="s">
        <v>25</v>
      </c>
      <c r="L73" s="9" t="s">
        <v>26</v>
      </c>
      <c r="M73" s="9" t="s">
        <v>133</v>
      </c>
      <c r="N73" s="9" t="s">
        <v>268</v>
      </c>
      <c r="O73" s="89" t="s">
        <v>118</v>
      </c>
      <c r="P73" t="s">
        <v>137</v>
      </c>
    </row>
    <row r="74" spans="1:16">
      <c r="A74" s="5" t="s">
        <v>143</v>
      </c>
      <c r="B74" s="5">
        <v>5</v>
      </c>
      <c r="D74" s="35">
        <v>10.9</v>
      </c>
      <c r="E74" s="9">
        <f t="shared" ref="E74:E81" si="36">(0.5+(0.00000036*$B$77*$B$19^3*($B$74*0.0254)*($B$73*0.0254)^4)*($B$20+$B$21)*$D74-(0.25-(0.00000036*$B$77*$B$19^3*($B$74*0.0254)*($B$73*0.0254)^4)*(($B$20+$B$21)^2*$B$14-($B$20+$B$21)*$D74))^(1/2))/((0.00000036*$B$77*$B$19^3*($B$74*0.0254)*($B$73*0.0254)^4)*($B$20+$B$21)^2)</f>
        <v>21.634778170360121</v>
      </c>
      <c r="F74" s="36">
        <f t="shared" ref="F74:F80" si="37">D74*E74</f>
        <v>235.81908205692534</v>
      </c>
      <c r="G74" s="36">
        <f t="shared" ref="G74:G80" si="38">(D74-($B$20+$B$21)*E74)*(E74-$B$14)</f>
        <v>181.77603082367122</v>
      </c>
      <c r="H74" s="9">
        <f t="shared" ref="H74:H80" si="39">G74/F74*100</f>
        <v>77.082833686797045</v>
      </c>
      <c r="I74" s="37">
        <f t="shared" ref="I74:I80" si="40">$B$19*(D74-(E74*($B$20+$B$21)))</f>
        <v>5282.5081287814401</v>
      </c>
      <c r="J74" s="38">
        <f t="shared" ref="J74:J80" si="41">(($B$73*0.0254)^4)*($B$74*0.0254)*(I74^3)*2*$B$77*0.00000018</f>
        <v>181.77603082367148</v>
      </c>
      <c r="K74" s="36">
        <f>$K$72*0.6*((0.6*3.1416*($B$73*0.0254)^2*J74^2)^(1/3))/9.81*1000</f>
        <v>1643.6665893969407</v>
      </c>
      <c r="L74" s="2">
        <f t="shared" ref="L74:L80" si="42">K74/F74</f>
        <v>6.9700321749203029</v>
      </c>
      <c r="M74" s="38">
        <f t="shared" ref="M74:M80" si="43">1.30652287/($B$73*0.0254)*POWER(K74*0.00981,3/2)</f>
        <v>222.03229231569608</v>
      </c>
      <c r="N74" s="38">
        <f t="shared" ref="N74:N80" si="44">POWER(I74/$B$76,3)*100</f>
        <v>151.44224080801101</v>
      </c>
      <c r="O74" s="38">
        <f t="shared" ref="O74:O80" si="45">0.65*60*O$10/E74</f>
        <v>2.703979654394868</v>
      </c>
      <c r="P74" s="33">
        <f t="shared" ref="P74:P80" si="46">($B$20*$B$14+SQRT($B$20^2*$B$14^2+4*$B$20*($R$9-(D74*$B$14))))/(2*$B$20)</f>
        <v>21.414027455690601</v>
      </c>
    </row>
    <row r="75" spans="1:16">
      <c r="A75" s="94"/>
      <c r="B75" s="5"/>
      <c r="D75" s="56">
        <v>10.8</v>
      </c>
      <c r="E75" s="9">
        <f t="shared" si="36"/>
        <v>21.312652164282927</v>
      </c>
      <c r="F75" s="36">
        <f t="shared" si="37"/>
        <v>230.17664337425563</v>
      </c>
      <c r="G75" s="36">
        <f t="shared" si="38"/>
        <v>177.67475524534845</v>
      </c>
      <c r="H75" s="9">
        <f t="shared" si="39"/>
        <v>77.190610063966503</v>
      </c>
      <c r="I75" s="37">
        <f t="shared" si="40"/>
        <v>5242.4771223959042</v>
      </c>
      <c r="J75" s="38">
        <f t="shared" si="41"/>
        <v>177.674755245348</v>
      </c>
      <c r="K75" s="63">
        <f t="shared" ref="K75:K80" si="47">$K$72*0.6*((0.6*3.1416*($B$73*0.0254)^2*J75^2)^(1/3))/9.81*1000</f>
        <v>1618.8494692217389</v>
      </c>
      <c r="L75" s="2">
        <f t="shared" si="42"/>
        <v>7.0330744487813703</v>
      </c>
      <c r="M75" s="38">
        <f t="shared" si="43"/>
        <v>217.0227450505956</v>
      </c>
      <c r="N75" s="38">
        <f t="shared" si="44"/>
        <v>148.02536367114044</v>
      </c>
      <c r="O75" s="38">
        <f t="shared" si="45"/>
        <v>2.7448484378700626</v>
      </c>
      <c r="P75" s="34">
        <f t="shared" si="46"/>
        <v>21.42043936803119</v>
      </c>
    </row>
    <row r="76" spans="1:16">
      <c r="A76" s="4" t="s">
        <v>340</v>
      </c>
      <c r="B76" s="4">
        <v>4600</v>
      </c>
      <c r="D76" s="56">
        <v>9</v>
      </c>
      <c r="E76" s="9">
        <f t="shared" si="36"/>
        <v>15.79931887015951</v>
      </c>
      <c r="F76" s="36">
        <f t="shared" si="37"/>
        <v>142.19386983143559</v>
      </c>
      <c r="G76" s="36">
        <f t="shared" si="38"/>
        <v>112.55721491044322</v>
      </c>
      <c r="H76" s="36">
        <f t="shared" si="39"/>
        <v>79.157572013388986</v>
      </c>
      <c r="I76" s="37">
        <f t="shared" si="40"/>
        <v>4502.4864530551213</v>
      </c>
      <c r="J76" s="38">
        <f t="shared" si="41"/>
        <v>112.55721491044319</v>
      </c>
      <c r="K76" s="64">
        <f t="shared" si="47"/>
        <v>1194.0931554040465</v>
      </c>
      <c r="L76" s="38">
        <f t="shared" si="42"/>
        <v>8.3976415918603937</v>
      </c>
      <c r="M76" s="38">
        <f t="shared" si="43"/>
        <v>137.48422346991694</v>
      </c>
      <c r="N76" s="38">
        <f t="shared" si="44"/>
        <v>93.774282384246035</v>
      </c>
      <c r="O76" s="38">
        <f t="shared" si="45"/>
        <v>3.7026912666779657</v>
      </c>
      <c r="P76" s="34">
        <f t="shared" si="46"/>
        <v>21.535525053600669</v>
      </c>
    </row>
    <row r="77" spans="1:16">
      <c r="A77" s="4" t="s">
        <v>110</v>
      </c>
      <c r="B77" s="4">
        <v>1.28</v>
      </c>
      <c r="D77" s="56">
        <v>7.21</v>
      </c>
      <c r="E77" s="9">
        <f t="shared" si="36"/>
        <v>10.913700384728431</v>
      </c>
      <c r="F77" s="36">
        <f t="shared" si="37"/>
        <v>78.68777977389199</v>
      </c>
      <c r="G77" s="36">
        <f t="shared" si="38"/>
        <v>63.78295771694966</v>
      </c>
      <c r="H77" s="9">
        <f t="shared" si="39"/>
        <v>81.058276012144347</v>
      </c>
      <c r="I77" s="37">
        <f t="shared" si="40"/>
        <v>3725.8856337615211</v>
      </c>
      <c r="J77" s="38">
        <f t="shared" si="41"/>
        <v>63.782957716949788</v>
      </c>
      <c r="K77" s="65">
        <f t="shared" si="47"/>
        <v>817.6970284361347</v>
      </c>
      <c r="L77" s="2">
        <f t="shared" si="42"/>
        <v>10.391664764030367</v>
      </c>
      <c r="M77" s="38">
        <f t="shared" si="43"/>
        <v>77.90838125576056</v>
      </c>
      <c r="N77" s="38">
        <f t="shared" si="44"/>
        <v>53.139206518308498</v>
      </c>
      <c r="O77" s="38">
        <f t="shared" si="45"/>
        <v>5.3602351116271434</v>
      </c>
      <c r="P77" s="34">
        <f t="shared" si="46"/>
        <v>21.64936045560426</v>
      </c>
    </row>
    <row r="78" spans="1:16">
      <c r="A78" s="5"/>
      <c r="B78" s="5"/>
      <c r="D78" s="56">
        <v>6</v>
      </c>
      <c r="E78" s="9">
        <f t="shared" si="36"/>
        <v>8.0032025756409944</v>
      </c>
      <c r="F78" s="36">
        <f t="shared" si="37"/>
        <v>48.019215453845966</v>
      </c>
      <c r="G78" s="36">
        <f t="shared" si="38"/>
        <v>39.437683477499988</v>
      </c>
      <c r="H78" s="9">
        <f t="shared" si="39"/>
        <v>82.128962551264124</v>
      </c>
      <c r="I78" s="37">
        <f t="shared" si="40"/>
        <v>3174.1815843412842</v>
      </c>
      <c r="J78" s="38">
        <f t="shared" si="41"/>
        <v>39.437683477500094</v>
      </c>
      <c r="K78" s="64">
        <f t="shared" si="47"/>
        <v>593.46746442988024</v>
      </c>
      <c r="L78" s="2">
        <f t="shared" si="42"/>
        <v>12.358957946747298</v>
      </c>
      <c r="M78" s="38">
        <f t="shared" si="43"/>
        <v>48.171583604574501</v>
      </c>
      <c r="N78" s="38">
        <f t="shared" si="44"/>
        <v>32.856538516363749</v>
      </c>
      <c r="O78" s="38">
        <f t="shared" si="45"/>
        <v>7.3095738171184061</v>
      </c>
      <c r="P78" s="34">
        <f t="shared" si="46"/>
        <v>21.725970430087269</v>
      </c>
    </row>
    <row r="79" spans="1:16">
      <c r="A79" s="5"/>
      <c r="B79" s="5"/>
      <c r="D79" s="56">
        <v>5.75</v>
      </c>
      <c r="E79" s="9">
        <f t="shared" si="36"/>
        <v>7.4458451284379192</v>
      </c>
      <c r="F79" s="36">
        <f t="shared" si="37"/>
        <v>42.813609488518033</v>
      </c>
      <c r="G79" s="36">
        <f t="shared" si="38"/>
        <v>35.235855313321395</v>
      </c>
      <c r="H79" s="36">
        <f t="shared" si="39"/>
        <v>82.300594914266981</v>
      </c>
      <c r="I79" s="37">
        <f t="shared" si="40"/>
        <v>3057.193362240534</v>
      </c>
      <c r="J79" s="38">
        <f t="shared" si="41"/>
        <v>35.235855313321267</v>
      </c>
      <c r="K79" s="64">
        <f t="shared" si="47"/>
        <v>550.52772505203791</v>
      </c>
      <c r="L79" s="38">
        <f t="shared" si="42"/>
        <v>12.858708518833975</v>
      </c>
      <c r="M79" s="38">
        <f t="shared" si="43"/>
        <v>43.039215299568056</v>
      </c>
      <c r="N79" s="38">
        <f t="shared" si="44"/>
        <v>29.355888459312389</v>
      </c>
      <c r="O79" s="38">
        <f t="shared" si="45"/>
        <v>7.8567306989197139</v>
      </c>
      <c r="P79" s="34">
        <f t="shared" si="46"/>
        <v>21.741765054803146</v>
      </c>
    </row>
    <row r="80" spans="1:16">
      <c r="A80" s="5"/>
      <c r="B80" s="5"/>
      <c r="D80" s="56">
        <v>5.55</v>
      </c>
      <c r="E80" s="9">
        <f t="shared" si="36"/>
        <v>7.0114700563201913</v>
      </c>
      <c r="F80" s="36">
        <f t="shared" si="37"/>
        <v>38.913658812577061</v>
      </c>
      <c r="G80" s="36">
        <f t="shared" si="38"/>
        <v>32.072358965861412</v>
      </c>
      <c r="H80" s="9">
        <f t="shared" si="39"/>
        <v>82.419283985435698</v>
      </c>
      <c r="I80" s="37">
        <f t="shared" si="40"/>
        <v>2962.8177421589626</v>
      </c>
      <c r="J80" s="38">
        <f t="shared" si="41"/>
        <v>32.07235896586139</v>
      </c>
      <c r="K80" s="66">
        <f t="shared" si="47"/>
        <v>517.06275121421959</v>
      </c>
      <c r="L80" s="2">
        <f t="shared" si="42"/>
        <v>13.287436005557582</v>
      </c>
      <c r="M80" s="38">
        <f t="shared" si="43"/>
        <v>39.175128584855948</v>
      </c>
      <c r="N80" s="38">
        <f t="shared" si="44"/>
        <v>26.720299083329092</v>
      </c>
      <c r="O80" s="38">
        <f t="shared" si="45"/>
        <v>8.3434714161358592</v>
      </c>
      <c r="P80" s="34">
        <f t="shared" si="46"/>
        <v>21.754392440595797</v>
      </c>
    </row>
    <row r="81" spans="1:16">
      <c r="A81" s="5"/>
      <c r="B81" s="5"/>
      <c r="D81" s="60">
        <v>4.9000000000000004</v>
      </c>
      <c r="E81" s="17">
        <f t="shared" si="36"/>
        <v>5.6734228057729119</v>
      </c>
      <c r="F81" s="61">
        <f>D81*E81</f>
        <v>27.79977174828727</v>
      </c>
      <c r="G81" s="61">
        <f>(D81-($B$20+$B$21)*E81)*(E81-$B$14)</f>
        <v>22.976344804240718</v>
      </c>
      <c r="H81" s="17">
        <f>G81/F81*100</f>
        <v>82.649400909762079</v>
      </c>
      <c r="I81" s="62">
        <f>$B$19*(D81-(E81*($B$20+$B$21)))</f>
        <v>2651.0725646462879</v>
      </c>
      <c r="J81" s="38">
        <f>(($B$73*0.0254)^4)*($B$74*0.0254)*(I81^3)*2*$B$77*0.00000018</f>
        <v>22.976344804240732</v>
      </c>
      <c r="K81" s="36">
        <f>$K$72*0.6*((0.6*3.1416*($B$73*0.0254)^2*J81^2)^(1/3))/9.81*1000</f>
        <v>413.97737843943145</v>
      </c>
      <c r="L81" s="2">
        <f>K81/F81</f>
        <v>14.891394871432222</v>
      </c>
      <c r="M81" s="38">
        <f>1.30652287/($B$73*0.0254)*POWER(K81*0.00981,3/2)</f>
        <v>28.064704036089392</v>
      </c>
      <c r="N81" s="38">
        <f>POWER(I81/$B$76,3)*100</f>
        <v>19.142178025149128</v>
      </c>
      <c r="O81" s="38">
        <f>0.65*60*O$10/E81</f>
        <v>10.31123573946827</v>
      </c>
      <c r="P81" s="34">
        <f>($B$20*$B$14+SQRT($B$20^2*$B$14^2+4*$B$20*($R$9-(D81*$B$14))))/(2*$B$20)</f>
        <v>21.795380569534924</v>
      </c>
    </row>
    <row r="82" spans="1:16">
      <c r="A82" s="5"/>
      <c r="B82" s="5"/>
    </row>
    <row r="86" spans="1:16">
      <c r="H86" s="57" t="s">
        <v>344</v>
      </c>
      <c r="I86" s="90"/>
      <c r="J86" s="90"/>
      <c r="K86" s="90"/>
      <c r="L86" s="90"/>
      <c r="M86" s="91"/>
    </row>
    <row r="87" spans="1:16">
      <c r="O87" s="186" t="s">
        <v>407</v>
      </c>
      <c r="P87" s="186"/>
    </row>
    <row r="88" spans="1:16">
      <c r="D88" s="2"/>
      <c r="E88" s="2"/>
      <c r="F88" s="2"/>
      <c r="G88" s="2"/>
      <c r="H88" s="2"/>
      <c r="I88" s="2"/>
      <c r="J88" s="2"/>
      <c r="K88" s="4" t="s">
        <v>111</v>
      </c>
      <c r="L88" s="2"/>
      <c r="M88" s="2"/>
      <c r="N88" s="2"/>
      <c r="O88" s="89">
        <v>1.25</v>
      </c>
      <c r="P88" s="89" t="s">
        <v>394</v>
      </c>
    </row>
    <row r="89" spans="1:16">
      <c r="D89" s="2"/>
      <c r="E89" s="2"/>
      <c r="F89" s="2"/>
      <c r="G89" s="2"/>
      <c r="H89" s="2"/>
      <c r="I89" s="2"/>
      <c r="J89" s="2"/>
      <c r="K89" s="4">
        <v>1.29</v>
      </c>
      <c r="M89" s="2" t="s">
        <v>113</v>
      </c>
      <c r="N89" s="2" t="s">
        <v>113</v>
      </c>
      <c r="O89" s="89" t="s">
        <v>116</v>
      </c>
    </row>
    <row r="90" spans="1:16">
      <c r="A90" s="5" t="s">
        <v>249</v>
      </c>
      <c r="B90" s="5">
        <v>12</v>
      </c>
      <c r="D90" s="11" t="s">
        <v>341</v>
      </c>
      <c r="E90" s="12" t="s">
        <v>342</v>
      </c>
      <c r="F90" s="12" t="s">
        <v>262</v>
      </c>
      <c r="G90" s="12" t="s">
        <v>127</v>
      </c>
      <c r="H90" s="12" t="s">
        <v>128</v>
      </c>
      <c r="I90" s="13" t="s">
        <v>129</v>
      </c>
      <c r="J90" s="2" t="s">
        <v>24</v>
      </c>
      <c r="K90" s="2" t="s">
        <v>25</v>
      </c>
      <c r="L90" s="9" t="s">
        <v>26</v>
      </c>
      <c r="M90" s="9" t="s">
        <v>133</v>
      </c>
      <c r="N90" s="9" t="s">
        <v>268</v>
      </c>
      <c r="O90" s="89" t="s">
        <v>118</v>
      </c>
      <c r="P90" t="s">
        <v>137</v>
      </c>
    </row>
    <row r="91" spans="1:16">
      <c r="A91" s="5" t="s">
        <v>143</v>
      </c>
      <c r="B91" s="5">
        <v>4.5</v>
      </c>
      <c r="D91" s="35">
        <v>17.3</v>
      </c>
      <c r="E91" s="9">
        <f t="shared" ref="E91:E102" si="48">(0.5+(0.00000036*$B$94*$B$19^3*($B$91*0.0254)*($B$90*0.0254)^4)*($B$20+$B$21)*$D91-(0.25-(0.00000036*$B$94*$B$19^3*($B$91*0.0254)*($B$90*0.0254)^4)*(($B$20+$B$21)^2*$B$14-($B$20+$B$21)*$D91))^(1/2))/((0.00000036*$B$94*$B$19^3*($B$91*0.0254)*($B$90*0.0254)^4)*($B$20+$B$21)^2)</f>
        <v>21.169003833707382</v>
      </c>
      <c r="F91" s="36">
        <f>D91*E91</f>
        <v>366.22376632313774</v>
      </c>
      <c r="G91" s="36">
        <f>(D91-($B$20+$B$21)*E91)*(E91-$B$14)</f>
        <v>312.43840388538308</v>
      </c>
      <c r="H91" s="9">
        <f>G91/F91*100</f>
        <v>85.313524849095373</v>
      </c>
      <c r="I91" s="37">
        <f>$B$19*(D91-(E91*($B$20+$B$21)))</f>
        <v>9282.2739385411569</v>
      </c>
      <c r="J91" s="38">
        <f>(($B$90*0.0254)^4)*($B$91*0.0254)*(I91^3)*2*$B$94*0.00000018</f>
        <v>312.43840388538263</v>
      </c>
      <c r="K91" s="36">
        <f>$K$89*0.6*((0.6*3.1416*($B$90*0.0254)^2*J91^2)^(1/3))/9.81*1000</f>
        <v>2032.4767282187372</v>
      </c>
      <c r="L91" s="2">
        <f>K91/F91</f>
        <v>5.5498220353765362</v>
      </c>
      <c r="M91" s="38">
        <f>1.30652287/($B$90*0.0254)*POWER(K91*0.00981,3/2)</f>
        <v>381.63125637516686</v>
      </c>
      <c r="N91" s="38">
        <f>POWER(I91/$B$93,3)*100</f>
        <v>407.36745201945388</v>
      </c>
      <c r="O91" s="38">
        <f>0.65*60*O$10/E91</f>
        <v>2.7634743920661262</v>
      </c>
      <c r="P91" s="33">
        <f>($B$20*$B$14+SQRT($B$20^2*$B$14^2+4*$B$20*($R$9-(D91*$B$14))))/(2*$B$20)</f>
        <v>20.999563980616436</v>
      </c>
    </row>
    <row r="92" spans="1:16">
      <c r="A92" s="94"/>
      <c r="B92" s="5"/>
      <c r="D92" s="56">
        <v>17.2</v>
      </c>
      <c r="E92" s="9">
        <f t="shared" si="48"/>
        <v>20.956065429112154</v>
      </c>
      <c r="F92" s="36">
        <f>D92*E92</f>
        <v>360.44432538072903</v>
      </c>
      <c r="G92" s="36">
        <f>(D92-($B$20+$B$21)*E92)*(E92-$B$14)</f>
        <v>307.66864093027448</v>
      </c>
      <c r="H92" s="9">
        <f>G92/F92*100</f>
        <v>85.358159156838212</v>
      </c>
      <c r="I92" s="37">
        <f>$B$19*(D92-(E92*($B$20+$B$21)))</f>
        <v>9234.7963377345513</v>
      </c>
      <c r="J92" s="38">
        <f t="shared" ref="J92:J100" si="49">(($B$90*0.0254)^4)*($B$91*0.0254)*(I92^3)*2*$B$94*0.00000018</f>
        <v>307.6686409302755</v>
      </c>
      <c r="K92" s="63">
        <f t="shared" ref="K92:K100" si="50">$K$89*0.6*((0.6*3.1416*($B$90*0.0254)^2*J92^2)^(1/3))/9.81*1000</f>
        <v>2011.7382034989041</v>
      </c>
      <c r="L92" s="2">
        <f>K92/F92</f>
        <v>5.5812730617244464</v>
      </c>
      <c r="M92" s="38">
        <f t="shared" ref="M92:M100" si="51">1.30652287/($B$90*0.0254)*POWER(K92*0.00981,3/2)</f>
        <v>375.80517799769211</v>
      </c>
      <c r="N92" s="38">
        <f t="shared" ref="N92:N100" si="52">POWER(I92/$B$93,3)*100</f>
        <v>401.14847843107384</v>
      </c>
      <c r="O92" s="38">
        <f>0.65*60*O$10/E92</f>
        <v>2.7915545596041054</v>
      </c>
      <c r="P92" s="34">
        <f>($B$20*$B$14+SQRT($B$20^2*$B$14^2+4*$B$20*($R$9-(D92*$B$14))))/(2*$B$20)</f>
        <v>21.006103314247024</v>
      </c>
    </row>
    <row r="93" spans="1:16">
      <c r="A93" s="4" t="s">
        <v>340</v>
      </c>
      <c r="B93" s="4">
        <v>5812</v>
      </c>
      <c r="D93" s="56">
        <v>16</v>
      </c>
      <c r="E93" s="9">
        <f t="shared" si="48"/>
        <v>18.467024302129758</v>
      </c>
      <c r="F93" s="36">
        <f>D93*E93</f>
        <v>295.47238883407613</v>
      </c>
      <c r="G93" s="36">
        <f>(D93-($B$20+$B$21)*E93)*(E93-$B$14)</f>
        <v>253.7683921127468</v>
      </c>
      <c r="H93" s="36">
        <f>G93/F93*100</f>
        <v>85.885653517104643</v>
      </c>
      <c r="I93" s="37">
        <f>$B$19*(D93-(E93*($B$20+$B$21)))</f>
        <v>8660.5489425947508</v>
      </c>
      <c r="J93" s="38">
        <f t="shared" si="49"/>
        <v>253.76839211274668</v>
      </c>
      <c r="K93" s="64">
        <f t="shared" si="50"/>
        <v>1769.3251872149103</v>
      </c>
      <c r="L93" s="38">
        <f>K93/F93</f>
        <v>5.9881236084244849</v>
      </c>
      <c r="M93" s="38">
        <f t="shared" si="51"/>
        <v>309.96813805840952</v>
      </c>
      <c r="N93" s="38">
        <f t="shared" si="52"/>
        <v>330.8715638426026</v>
      </c>
      <c r="O93" s="38">
        <f>0.65*60*O$10/E93</f>
        <v>3.1678086866032515</v>
      </c>
      <c r="P93" s="34">
        <f>($B$20*$B$14+SQRT($B$20^2*$B$14^2+4*$B$20*($R$9-(D93*$B$14))))/(2*$B$20)</f>
        <v>21.084415987251063</v>
      </c>
    </row>
    <row r="94" spans="1:16">
      <c r="A94" s="4" t="s">
        <v>110</v>
      </c>
      <c r="B94" s="4">
        <v>1.1000000000000001</v>
      </c>
      <c r="D94" s="56">
        <v>14</v>
      </c>
      <c r="E94" s="9">
        <f t="shared" si="48"/>
        <v>14.601661917505925</v>
      </c>
      <c r="F94" s="36">
        <f>D94*E94</f>
        <v>204.42326684508296</v>
      </c>
      <c r="G94" s="36">
        <f>(D94-($B$20+$B$21)*E94)*(E94-$B$14)</f>
        <v>177.25218330551493</v>
      </c>
      <c r="H94" s="9">
        <f>G94/F94*100</f>
        <v>86.708419271980944</v>
      </c>
      <c r="I94" s="37">
        <f>$B$19*(D94-(E94*($B$20+$B$21)))</f>
        <v>7684.1666572260956</v>
      </c>
      <c r="J94" s="38">
        <f t="shared" si="49"/>
        <v>177.25218330551417</v>
      </c>
      <c r="K94" s="64">
        <f t="shared" si="50"/>
        <v>1392.8693124888346</v>
      </c>
      <c r="L94" s="2">
        <f>K94/F94</f>
        <v>6.8136535238152982</v>
      </c>
      <c r="M94" s="38">
        <f t="shared" si="51"/>
        <v>216.50658999954476</v>
      </c>
      <c r="N94" s="38">
        <f t="shared" si="52"/>
        <v>231.10721787114676</v>
      </c>
      <c r="O94" s="38">
        <f>0.65*60*O$10/E94</f>
        <v>4.0063932674584377</v>
      </c>
      <c r="P94" s="34">
        <f>($B$20*$B$14+SQRT($B$20^2*$B$14^2+4*$B$20*($R$9-(D94*$B$14))))/(2*$B$20)</f>
        <v>21.214290118155375</v>
      </c>
    </row>
    <row r="95" spans="1:16">
      <c r="D95" s="56">
        <v>12</v>
      </c>
      <c r="E95" s="9">
        <f t="shared" si="48"/>
        <v>11.114465266233911</v>
      </c>
      <c r="F95" s="36">
        <f t="shared" ref="F95:F100" si="53">D95*E95</f>
        <v>133.37358319480694</v>
      </c>
      <c r="G95" s="36">
        <f t="shared" ref="G95:G100" si="54">(D95-($B$20+$B$21)*E95)*(E95-$B$14)</f>
        <v>116.55191335161743</v>
      </c>
      <c r="H95" s="36">
        <f t="shared" ref="H95:H100" si="55">G95/F95*100</f>
        <v>87.387554986342693</v>
      </c>
      <c r="I95" s="37">
        <f t="shared" ref="I95:I100" si="56">$B$19*(D95-(E95*($B$20+$B$21)))</f>
        <v>6681.9934688428466</v>
      </c>
      <c r="J95" s="38">
        <f t="shared" si="49"/>
        <v>116.55191335161663</v>
      </c>
      <c r="K95" s="64">
        <f t="shared" si="50"/>
        <v>1053.2438039159326</v>
      </c>
      <c r="L95" s="38">
        <f t="shared" ref="L95:L100" si="57">K95/F95</f>
        <v>7.8969446474085725</v>
      </c>
      <c r="M95" s="38">
        <f t="shared" si="51"/>
        <v>142.36359094199045</v>
      </c>
      <c r="N95" s="38">
        <f t="shared" si="52"/>
        <v>151.96421240027189</v>
      </c>
      <c r="O95" s="38">
        <f t="shared" ref="O95:O100" si="58">0.65*60*O$10/E95</f>
        <v>5.2634111132386021</v>
      </c>
      <c r="P95" s="34">
        <f t="shared" ref="P95:P100" si="59">($B$20*$B$14+SQRT($B$20^2*$B$14^2+4*$B$20*($R$9-(D95*$B$14))))/(2*$B$20)</f>
        <v>21.343368388162453</v>
      </c>
    </row>
    <row r="96" spans="1:16">
      <c r="D96" s="56">
        <v>11</v>
      </c>
      <c r="E96" s="9">
        <f t="shared" si="48"/>
        <v>9.5223981485444504</v>
      </c>
      <c r="F96" s="36">
        <f t="shared" si="53"/>
        <v>104.74637963398895</v>
      </c>
      <c r="G96" s="36">
        <f t="shared" si="54"/>
        <v>91.786251457956595</v>
      </c>
      <c r="H96" s="9">
        <f t="shared" si="55"/>
        <v>87.627134969897384</v>
      </c>
      <c r="I96" s="37">
        <f t="shared" si="56"/>
        <v>6170.5724462692679</v>
      </c>
      <c r="J96" s="38">
        <f t="shared" si="49"/>
        <v>91.7862514579557</v>
      </c>
      <c r="K96" s="64">
        <f t="shared" si="50"/>
        <v>898.18899668839981</v>
      </c>
      <c r="L96" s="2">
        <f t="shared" si="57"/>
        <v>8.5748929922628871</v>
      </c>
      <c r="M96" s="38">
        <f t="shared" si="51"/>
        <v>112.11330625897303</v>
      </c>
      <c r="N96" s="38">
        <f t="shared" si="52"/>
        <v>119.67392907486818</v>
      </c>
      <c r="O96" s="38">
        <f t="shared" si="58"/>
        <v>6.143410419038406</v>
      </c>
      <c r="P96" s="34">
        <f t="shared" si="59"/>
        <v>21.407613609331516</v>
      </c>
    </row>
    <row r="97" spans="4:16">
      <c r="D97" s="56">
        <v>10.45</v>
      </c>
      <c r="E97" s="9">
        <f t="shared" si="48"/>
        <v>8.6919730875932331</v>
      </c>
      <c r="F97" s="36">
        <f t="shared" si="53"/>
        <v>90.831118765349274</v>
      </c>
      <c r="G97" s="36">
        <f t="shared" si="54"/>
        <v>79.672410300140896</v>
      </c>
      <c r="H97" s="36">
        <f t="shared" si="55"/>
        <v>87.714883822981989</v>
      </c>
      <c r="I97" s="37">
        <f t="shared" si="56"/>
        <v>5886.2074354261413</v>
      </c>
      <c r="J97" s="38">
        <f t="shared" si="49"/>
        <v>79.672410300140612</v>
      </c>
      <c r="K97" s="65">
        <f t="shared" si="50"/>
        <v>817.31213144068238</v>
      </c>
      <c r="L97" s="38">
        <f t="shared" si="57"/>
        <v>8.9981511022902296</v>
      </c>
      <c r="M97" s="38">
        <f t="shared" si="51"/>
        <v>97.316724394849459</v>
      </c>
      <c r="N97" s="38">
        <f t="shared" si="52"/>
        <v>103.87950513318833</v>
      </c>
      <c r="O97" s="38">
        <f t="shared" si="58"/>
        <v>6.7303475759148235</v>
      </c>
      <c r="P97" s="34">
        <f t="shared" si="59"/>
        <v>21.442865856047572</v>
      </c>
    </row>
    <row r="98" spans="4:16">
      <c r="D98" s="56">
        <v>9.5</v>
      </c>
      <c r="E98" s="9">
        <f t="shared" si="48"/>
        <v>7.3359155710584778</v>
      </c>
      <c r="F98" s="36">
        <f t="shared" si="53"/>
        <v>69.691197925055533</v>
      </c>
      <c r="G98" s="36">
        <f t="shared" si="54"/>
        <v>61.163560839673664</v>
      </c>
      <c r="H98" s="9">
        <f t="shared" si="55"/>
        <v>87.763681297956282</v>
      </c>
      <c r="I98" s="37">
        <f t="shared" si="56"/>
        <v>5389.6905580538123</v>
      </c>
      <c r="J98" s="38">
        <f t="shared" si="49"/>
        <v>61.163560839673615</v>
      </c>
      <c r="K98" s="64">
        <f t="shared" si="50"/>
        <v>685.24280190080117</v>
      </c>
      <c r="L98" s="2">
        <f t="shared" si="57"/>
        <v>9.8325588066042009</v>
      </c>
      <c r="M98" s="38">
        <f t="shared" si="51"/>
        <v>74.708890704058646</v>
      </c>
      <c r="N98" s="38">
        <f t="shared" si="52"/>
        <v>79.74705934304761</v>
      </c>
      <c r="O98" s="38">
        <f t="shared" si="58"/>
        <v>7.9744647322269016</v>
      </c>
      <c r="P98" s="34">
        <f t="shared" si="59"/>
        <v>21.503619024758908</v>
      </c>
    </row>
    <row r="99" spans="4:16">
      <c r="D99" s="56">
        <v>9</v>
      </c>
      <c r="E99" s="9">
        <f t="shared" si="48"/>
        <v>6.6632210542566535</v>
      </c>
      <c r="F99" s="36">
        <f t="shared" si="53"/>
        <v>59.96898948830988</v>
      </c>
      <c r="G99" s="36">
        <f t="shared" si="54"/>
        <v>52.605039153132545</v>
      </c>
      <c r="H99" s="36">
        <f t="shared" si="55"/>
        <v>87.720402831512061</v>
      </c>
      <c r="I99" s="37">
        <f t="shared" si="56"/>
        <v>5125.5683240996959</v>
      </c>
      <c r="J99" s="38">
        <f t="shared" si="49"/>
        <v>52.605039153132452</v>
      </c>
      <c r="K99" s="64">
        <f t="shared" si="50"/>
        <v>619.72765026755826</v>
      </c>
      <c r="L99" s="38">
        <f t="shared" si="57"/>
        <v>10.334135284843603</v>
      </c>
      <c r="M99" s="38">
        <f t="shared" si="51"/>
        <v>64.254992132911767</v>
      </c>
      <c r="N99" s="38">
        <f t="shared" si="52"/>
        <v>68.588177691038794</v>
      </c>
      <c r="O99" s="38">
        <f t="shared" si="58"/>
        <v>8.7795376325731453</v>
      </c>
      <c r="P99" s="34">
        <f t="shared" si="59"/>
        <v>21.535525053600669</v>
      </c>
    </row>
    <row r="100" spans="4:16">
      <c r="D100" s="56">
        <v>8.5</v>
      </c>
      <c r="E100" s="9">
        <f t="shared" si="48"/>
        <v>6.01964435447504</v>
      </c>
      <c r="F100" s="36">
        <f t="shared" si="53"/>
        <v>51.166977013037837</v>
      </c>
      <c r="G100" s="36">
        <f t="shared" si="54"/>
        <v>44.829652279755564</v>
      </c>
      <c r="H100" s="9">
        <f t="shared" si="55"/>
        <v>87.614424178963205</v>
      </c>
      <c r="I100" s="37">
        <f t="shared" si="56"/>
        <v>4859.4602550248028</v>
      </c>
      <c r="J100" s="38">
        <f t="shared" si="49"/>
        <v>44.829652279756324</v>
      </c>
      <c r="K100" s="64">
        <f t="shared" si="50"/>
        <v>557.04834484632988</v>
      </c>
      <c r="L100" s="2">
        <f t="shared" si="57"/>
        <v>10.886872302508484</v>
      </c>
      <c r="M100" s="38">
        <f t="shared" si="51"/>
        <v>54.757662021156129</v>
      </c>
      <c r="N100" s="38">
        <f t="shared" si="52"/>
        <v>58.450372927976758</v>
      </c>
      <c r="O100" s="38">
        <f t="shared" si="58"/>
        <v>9.7181820976700628</v>
      </c>
      <c r="P100" s="34">
        <f t="shared" si="59"/>
        <v>21.567383551260839</v>
      </c>
    </row>
    <row r="101" spans="4:16">
      <c r="D101" s="56">
        <v>8.18</v>
      </c>
      <c r="E101" s="9">
        <f t="shared" si="48"/>
        <v>5.6233431936219382</v>
      </c>
      <c r="F101" s="36">
        <f>D101*E101</f>
        <v>45.998947323827451</v>
      </c>
      <c r="G101" s="36">
        <f>(D101-($B$20+$B$21)*E101)*(E101-$B$14)</f>
        <v>40.252098895159016</v>
      </c>
      <c r="H101" s="9">
        <f>G101/F101*100</f>
        <v>87.506565338960343</v>
      </c>
      <c r="I101" s="37">
        <f>$B$19*(D101-(E101*($B$20+$B$21)))</f>
        <v>4688.0879941949834</v>
      </c>
      <c r="J101" s="38">
        <f>(($B$90*0.0254)^4)*($B$91*0.0254)*(I101^3)*2*$B$94*0.00000018</f>
        <v>40.25209889515822</v>
      </c>
      <c r="K101" s="66">
        <f>$K$89*0.6*((0.6*3.1416*($B$90*0.0254)^2*J101^2)^(1/3))/9.81*1000</f>
        <v>518.4517307856521</v>
      </c>
      <c r="L101" s="2">
        <f>K101/F101</f>
        <v>11.270947727038401</v>
      </c>
      <c r="M101" s="38">
        <f>1.30652287/($B$90*0.0254)*POWER(K101*0.00981,3/2)</f>
        <v>49.16636009551506</v>
      </c>
      <c r="N101" s="38">
        <f>POWER(I101/$B$93,3)*100</f>
        <v>52.482008490131136</v>
      </c>
      <c r="O101" s="38">
        <f>0.65*60*O$10/E101</f>
        <v>10.403064153429474</v>
      </c>
      <c r="P101" s="34">
        <f>($B$20*$B$14+SQRT($B$20^2*$B$14^2+4*$B$20*($R$9-(D101*$B$14))))/(2*$B$20)</f>
        <v>21.587748143276279</v>
      </c>
    </row>
    <row r="102" spans="4:16">
      <c r="D102" s="60">
        <v>7.2</v>
      </c>
      <c r="E102" s="17">
        <f t="shared" si="48"/>
        <v>4.4874761258735925</v>
      </c>
      <c r="F102" s="61">
        <f>D102*E102</f>
        <v>32.309828106289864</v>
      </c>
      <c r="G102" s="61">
        <f>(D102-($B$20+$B$21)*E102)*(E102-$B$14)</f>
        <v>28.082796200612297</v>
      </c>
      <c r="H102" s="61">
        <f>G102/F102*100</f>
        <v>86.917194694531119</v>
      </c>
      <c r="I102" s="62">
        <f>$B$19*(D102-(E102*($B$20+$B$21)))</f>
        <v>4157.9541282154214</v>
      </c>
      <c r="J102" s="38">
        <f>(($B$90*0.0254)^4)*($B$91*0.0254)*(I102^3)*2*$B$94*0.00000018</f>
        <v>28.082796200612197</v>
      </c>
      <c r="K102" s="36">
        <f>$K$89*0.6*((0.6*3.1416*($B$90*0.0254)^2*J102^2)^(1/3))/9.81*1000</f>
        <v>407.82721799412508</v>
      </c>
      <c r="L102" s="38">
        <f>K102/F102</f>
        <v>12.622388972559467</v>
      </c>
      <c r="M102" s="38">
        <f>1.30652287/($B$90*0.0254)*POWER(K102*0.00981,3/2)</f>
        <v>34.302034139500343</v>
      </c>
      <c r="N102" s="38">
        <f>POWER(I102/$B$93,3)*100</f>
        <v>36.615271975405875</v>
      </c>
      <c r="O102" s="38">
        <f>0.65*60*O$10/E102</f>
        <v>13.03628105399928</v>
      </c>
      <c r="P102" s="34">
        <f>($B$20*$B$14+SQRT($B$20^2*$B$14^2+4*$B$20*($R$9-(D102*$B$14))))/(2*$B$20)</f>
        <v>21.649994714587088</v>
      </c>
    </row>
  </sheetData>
  <mergeCells count="5">
    <mergeCell ref="O9:P9"/>
    <mergeCell ref="O30:P30"/>
    <mergeCell ref="O50:P50"/>
    <mergeCell ref="O70:P70"/>
    <mergeCell ref="O87:P87"/>
  </mergeCells>
  <phoneticPr fontId="1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O139"/>
  <sheetViews>
    <sheetView workbookViewId="0">
      <selection activeCell="K16" sqref="K16"/>
    </sheetView>
  </sheetViews>
  <sheetFormatPr baseColWidth="10" defaultRowHeight="15"/>
  <cols>
    <col min="3" max="3" width="12.1640625" customWidth="1"/>
    <col min="8" max="8" width="12.6640625" customWidth="1"/>
    <col min="19" max="19" width="15.83203125" customWidth="1"/>
    <col min="20" max="20" width="13.83203125" customWidth="1"/>
    <col min="21" max="21" width="13.1640625" customWidth="1"/>
    <col min="22" max="22" width="12.33203125" customWidth="1"/>
    <col min="23" max="23" width="12.83203125" customWidth="1"/>
    <col min="28" max="28" width="33" bestFit="1" customWidth="1"/>
    <col min="32" max="32" width="41.1640625" bestFit="1" customWidth="1"/>
  </cols>
  <sheetData>
    <row r="1" spans="1:34" ht="16">
      <c r="C1" s="3" t="s">
        <v>195</v>
      </c>
      <c r="D1" s="4"/>
      <c r="E1" s="4"/>
      <c r="F1" s="4"/>
      <c r="G1" s="2"/>
      <c r="H1" s="2"/>
      <c r="I1" s="2"/>
      <c r="K1" s="2"/>
      <c r="M1" s="4" t="s">
        <v>157</v>
      </c>
      <c r="N1" s="4">
        <v>620</v>
      </c>
      <c r="O1" s="2"/>
      <c r="P1" s="10" t="s">
        <v>63</v>
      </c>
      <c r="Q1" s="5">
        <v>1.3</v>
      </c>
      <c r="R1" s="5" t="s">
        <v>163</v>
      </c>
      <c r="S1" s="2"/>
      <c r="T1" s="2"/>
      <c r="U1" s="2"/>
      <c r="V1" s="2"/>
      <c r="W1" s="2"/>
      <c r="X1" s="2"/>
      <c r="Y1" s="2"/>
      <c r="AA1" t="s">
        <v>55</v>
      </c>
      <c r="AB1" s="112" t="s">
        <v>311</v>
      </c>
      <c r="AC1">
        <v>481</v>
      </c>
      <c r="AD1" t="s">
        <v>130</v>
      </c>
      <c r="AE1" t="s">
        <v>57</v>
      </c>
      <c r="AF1" s="114" t="s">
        <v>308</v>
      </c>
      <c r="AG1">
        <v>924</v>
      </c>
      <c r="AH1" t="s">
        <v>130</v>
      </c>
    </row>
    <row r="2" spans="1:34">
      <c r="K2" s="2"/>
      <c r="M2" s="4" t="s">
        <v>158</v>
      </c>
      <c r="N2" s="4">
        <v>0.108</v>
      </c>
      <c r="O2" s="2"/>
      <c r="P2" t="s">
        <v>383</v>
      </c>
      <c r="Q2" s="2">
        <v>35</v>
      </c>
      <c r="R2" s="2" t="s">
        <v>19</v>
      </c>
      <c r="T2" s="2"/>
      <c r="U2" s="2"/>
      <c r="V2" s="2"/>
      <c r="W2" s="2"/>
      <c r="X2" s="2"/>
      <c r="Y2" s="2"/>
      <c r="AF2" s="112" t="s">
        <v>267</v>
      </c>
      <c r="AG2">
        <v>924</v>
      </c>
      <c r="AH2" t="s">
        <v>130</v>
      </c>
    </row>
    <row r="3" spans="1:34" ht="17">
      <c r="E3" s="5" t="s">
        <v>160</v>
      </c>
      <c r="F3" s="5"/>
      <c r="H3" t="s">
        <v>34</v>
      </c>
      <c r="I3">
        <v>5700</v>
      </c>
      <c r="K3" s="2"/>
      <c r="M3" s="4" t="s">
        <v>250</v>
      </c>
      <c r="N3" s="4">
        <v>0</v>
      </c>
      <c r="O3" s="2"/>
      <c r="P3" s="2" t="s">
        <v>17</v>
      </c>
      <c r="Q3" s="2">
        <v>290</v>
      </c>
      <c r="R3" s="2" t="s">
        <v>18</v>
      </c>
      <c r="U3" s="2"/>
      <c r="V3" s="2"/>
      <c r="W3" s="2"/>
      <c r="X3" s="2"/>
      <c r="Y3" s="2"/>
      <c r="AA3" t="s">
        <v>56</v>
      </c>
      <c r="AB3" s="114" t="s">
        <v>59</v>
      </c>
      <c r="AC3">
        <v>623</v>
      </c>
      <c r="AD3" t="s">
        <v>130</v>
      </c>
      <c r="AF3" s="112" t="s">
        <v>308</v>
      </c>
    </row>
    <row r="4" spans="1:34" ht="17">
      <c r="K4" s="2"/>
      <c r="O4" s="2"/>
      <c r="P4" s="2" t="s">
        <v>20</v>
      </c>
      <c r="Q4" s="2">
        <f>Q3/Q2</f>
        <v>8.2857142857142865</v>
      </c>
      <c r="R4" s="2" t="s">
        <v>425</v>
      </c>
      <c r="T4" s="2"/>
      <c r="U4" s="2"/>
      <c r="V4" s="2"/>
      <c r="W4" s="2"/>
      <c r="X4" s="2"/>
      <c r="Y4" s="2"/>
      <c r="Z4" s="31"/>
      <c r="AB4" s="112" t="s">
        <v>354</v>
      </c>
      <c r="AC4">
        <v>246</v>
      </c>
      <c r="AD4" t="s">
        <v>130</v>
      </c>
      <c r="AG4">
        <v>376</v>
      </c>
      <c r="AH4" t="s">
        <v>130</v>
      </c>
    </row>
    <row r="5" spans="1:34">
      <c r="K5" s="2"/>
      <c r="O5" s="6"/>
      <c r="P5" s="2"/>
      <c r="Q5" s="2"/>
      <c r="R5" s="2"/>
      <c r="S5" s="2"/>
      <c r="T5" s="2"/>
      <c r="U5" s="2"/>
      <c r="V5" s="2"/>
      <c r="W5" s="2"/>
      <c r="X5" s="6"/>
      <c r="Y5" s="6"/>
      <c r="AB5" s="112" t="s">
        <v>355</v>
      </c>
      <c r="AC5">
        <v>366</v>
      </c>
      <c r="AD5" t="s">
        <v>130</v>
      </c>
      <c r="AE5" t="s">
        <v>58</v>
      </c>
      <c r="AF5" s="112" t="s">
        <v>315</v>
      </c>
      <c r="AG5">
        <v>429</v>
      </c>
      <c r="AH5" t="s">
        <v>130</v>
      </c>
    </row>
    <row r="6" spans="1:34" ht="17">
      <c r="A6" s="5" t="s">
        <v>249</v>
      </c>
      <c r="B6" s="5">
        <v>13</v>
      </c>
      <c r="C6" s="5" t="s">
        <v>244</v>
      </c>
      <c r="D6" s="5" t="s">
        <v>266</v>
      </c>
      <c r="E6" s="5" t="s">
        <v>102</v>
      </c>
      <c r="F6" s="5" t="s">
        <v>103</v>
      </c>
      <c r="G6" s="7" t="s">
        <v>91</v>
      </c>
      <c r="H6" s="7" t="s">
        <v>92</v>
      </c>
      <c r="I6" s="7"/>
      <c r="J6" s="7" t="s">
        <v>93</v>
      </c>
      <c r="K6" s="7" t="s">
        <v>94</v>
      </c>
      <c r="L6" s="8" t="s">
        <v>95</v>
      </c>
      <c r="M6" s="7" t="s">
        <v>96</v>
      </c>
      <c r="N6" s="8" t="s">
        <v>322</v>
      </c>
      <c r="O6" s="5" t="s">
        <v>259</v>
      </c>
      <c r="P6" s="7" t="s">
        <v>323</v>
      </c>
      <c r="Q6" s="7" t="s">
        <v>324</v>
      </c>
      <c r="R6" s="7" t="s">
        <v>42</v>
      </c>
      <c r="S6" s="7" t="s">
        <v>43</v>
      </c>
      <c r="T6" s="7" t="s">
        <v>260</v>
      </c>
      <c r="U6" s="7" t="s">
        <v>44</v>
      </c>
      <c r="V6" s="7" t="s">
        <v>191</v>
      </c>
      <c r="W6" s="7" t="s">
        <v>91</v>
      </c>
      <c r="X6" s="7"/>
      <c r="Y6" s="7" t="s">
        <v>16</v>
      </c>
      <c r="Z6" s="7" t="s">
        <v>383</v>
      </c>
      <c r="AB6" s="112" t="s">
        <v>356</v>
      </c>
      <c r="AC6">
        <v>437</v>
      </c>
      <c r="AD6" t="s">
        <v>130</v>
      </c>
      <c r="AF6" s="112" t="s">
        <v>316</v>
      </c>
      <c r="AG6">
        <v>489</v>
      </c>
      <c r="AH6" t="s">
        <v>130</v>
      </c>
    </row>
    <row r="7" spans="1:34">
      <c r="A7" s="5" t="s">
        <v>109</v>
      </c>
      <c r="B7" s="5">
        <v>4</v>
      </c>
      <c r="C7" s="27">
        <v>1480</v>
      </c>
      <c r="D7" s="27">
        <v>16</v>
      </c>
      <c r="E7" s="27">
        <v>212</v>
      </c>
      <c r="F7" s="27">
        <v>7143</v>
      </c>
      <c r="G7" s="7">
        <f>K7/E7*100</f>
        <v>79.884646667390243</v>
      </c>
      <c r="H7" s="7">
        <f>C7/E7</f>
        <v>6.9811320754716979</v>
      </c>
      <c r="I7" s="7" t="s">
        <v>193</v>
      </c>
      <c r="J7" s="7">
        <f>E7/D7</f>
        <v>13.25</v>
      </c>
      <c r="K7" s="7">
        <f>E7*W7/100</f>
        <v>169.35545093486732</v>
      </c>
      <c r="L7" s="8">
        <v>230</v>
      </c>
      <c r="M7" s="7">
        <f>POWER(F7/$I$3,3)*100</f>
        <v>196.79650591923016</v>
      </c>
      <c r="N7" s="8">
        <f>1.30652287/(13*0.0254)*POWER(C7*0.00981,3/2)</f>
        <v>218.89509573316474</v>
      </c>
      <c r="O7" s="27">
        <v>100</v>
      </c>
      <c r="P7" s="7">
        <f>(0.5+(0.00000036*$B$8*$N$1^3*($B$7*0.0254)*($B$6*0.0254)^4)*($N$2+$N$3)*$R$7-(0.25-(0.00000036*$B$8*$N$1^3*($B$7*0.0254)*($B$6*0.0254)^4)*(($N$2+$N$3)^2*$Q$1-($N$2+$N$3)*$R$7))^(1/2))/((0.00000036*$B$8*$N$1^3*($B$7*0.0254)*($B$6*0.0254)^4)*($N$2+$N$3)^2)</f>
        <v>16.005192752588904</v>
      </c>
      <c r="Q7" s="7">
        <f t="shared" ref="Q7" si="0">$N$2*D7*O7/100</f>
        <v>1.7280000000000002</v>
      </c>
      <c r="R7" s="7">
        <f>J7*O7/100</f>
        <v>13.25</v>
      </c>
      <c r="S7" s="7">
        <f>$N$1*(R7-(D7*$N$2))</f>
        <v>7143.64</v>
      </c>
      <c r="T7" s="7">
        <f>C7/(E7*G7/100)</f>
        <v>8.7390160271203516</v>
      </c>
      <c r="U7" s="7">
        <f>L7/(2*PI()*F7/60)</f>
        <v>0.3074812004295332</v>
      </c>
      <c r="V7" s="7">
        <f>$N$2*P7^2+($Q$1*(R7-Q7))</f>
        <v>42.644549065132637</v>
      </c>
      <c r="W7" s="7">
        <f>(E7-V7)/E7*100</f>
        <v>79.884646667390257</v>
      </c>
      <c r="X7" s="7"/>
      <c r="Y7" s="7">
        <f>($N$2*$Q$2^2+$Q$1*(($Q$3/$Q$2)-$Q$2*$N$2))/2</f>
        <v>69.078714285714298</v>
      </c>
      <c r="Z7" s="7">
        <f>($N$2*$Q$1+SQRT($N$2^2*$Q$1^2+4*$N$2*(Y7-(R7*$Q$1))))/(2*$N$2)</f>
        <v>22.571438915522499</v>
      </c>
      <c r="AB7" s="112" t="s">
        <v>309</v>
      </c>
      <c r="AC7">
        <v>624</v>
      </c>
      <c r="AD7" t="s">
        <v>130</v>
      </c>
      <c r="AF7" s="112" t="s">
        <v>312</v>
      </c>
      <c r="AG7">
        <v>650</v>
      </c>
      <c r="AH7" t="s">
        <v>130</v>
      </c>
    </row>
    <row r="8" spans="1:34">
      <c r="A8" s="4" t="s">
        <v>110</v>
      </c>
      <c r="B8" s="4">
        <v>1.069</v>
      </c>
      <c r="E8" s="2"/>
      <c r="F8" s="2"/>
      <c r="G8" s="2"/>
      <c r="H8" s="2"/>
      <c r="I8" s="2"/>
      <c r="J8" s="2"/>
      <c r="K8" s="2"/>
      <c r="L8" s="2"/>
      <c r="M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F8" s="112" t="s">
        <v>353</v>
      </c>
      <c r="AG8">
        <v>843</v>
      </c>
      <c r="AH8" t="s">
        <v>130</v>
      </c>
    </row>
    <row r="9" spans="1:34" ht="15" customHeight="1">
      <c r="E9" s="2"/>
      <c r="F9" s="2"/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 t="s">
        <v>318</v>
      </c>
      <c r="U9" s="2" t="s">
        <v>202</v>
      </c>
      <c r="V9" s="5" t="s">
        <v>204</v>
      </c>
      <c r="W9" s="8" t="s">
        <v>205</v>
      </c>
      <c r="X9" s="2" t="s">
        <v>12</v>
      </c>
      <c r="Y9" s="5" t="s">
        <v>319</v>
      </c>
      <c r="Z9" s="8" t="s">
        <v>319</v>
      </c>
      <c r="AF9" s="112" t="s">
        <v>131</v>
      </c>
      <c r="AG9">
        <v>908</v>
      </c>
      <c r="AH9" t="s">
        <v>130</v>
      </c>
    </row>
    <row r="10" spans="1:34" ht="15" customHeight="1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12" t="s">
        <v>314</v>
      </c>
      <c r="P10" s="2"/>
      <c r="Q10" s="2"/>
      <c r="R10" s="2"/>
      <c r="S10" s="2"/>
      <c r="U10" s="2" t="s">
        <v>203</v>
      </c>
      <c r="V10" s="5">
        <v>526</v>
      </c>
      <c r="W10" s="8">
        <v>576</v>
      </c>
      <c r="X10">
        <v>14.8</v>
      </c>
      <c r="Y10" s="5">
        <f>5*X10/V10</f>
        <v>0.14068441064638784</v>
      </c>
      <c r="Z10" s="8">
        <f>5*X10/W10</f>
        <v>0.12847222222222221</v>
      </c>
      <c r="AF10" s="112" t="s">
        <v>132</v>
      </c>
      <c r="AG10">
        <v>929</v>
      </c>
      <c r="AH10" t="s">
        <v>130</v>
      </c>
    </row>
    <row r="11" spans="1:3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14">
        <f>AC18/4000</f>
        <v>1.5</v>
      </c>
      <c r="P11" s="2" t="s">
        <v>61</v>
      </c>
      <c r="Q11" s="2"/>
      <c r="R11" s="2"/>
      <c r="S11" s="2"/>
      <c r="U11" s="2" t="s">
        <v>10</v>
      </c>
      <c r="V11" s="5">
        <v>640</v>
      </c>
      <c r="W11" s="8">
        <v>710</v>
      </c>
      <c r="X11">
        <v>18.5</v>
      </c>
      <c r="Y11" s="5">
        <f>5*X11/V11</f>
        <v>0.14453125</v>
      </c>
      <c r="Z11" s="8">
        <f>5*X11/W11</f>
        <v>0.13028169014084506</v>
      </c>
      <c r="AF11" s="112" t="s">
        <v>307</v>
      </c>
      <c r="AG11" s="9">
        <v>1105</v>
      </c>
      <c r="AH11" s="67" t="s">
        <v>130</v>
      </c>
    </row>
    <row r="12" spans="1:34" ht="16">
      <c r="C12" s="2"/>
      <c r="D12" s="113" t="s">
        <v>195</v>
      </c>
      <c r="E12" s="90"/>
      <c r="F12" s="90"/>
      <c r="G12" s="90"/>
      <c r="H12" s="90"/>
      <c r="I12" s="90"/>
      <c r="J12" s="91"/>
      <c r="K12" s="2">
        <v>1.34</v>
      </c>
      <c r="M12" s="2" t="s">
        <v>113</v>
      </c>
      <c r="N12" s="2" t="s">
        <v>113</v>
      </c>
      <c r="O12" t="s">
        <v>117</v>
      </c>
      <c r="U12" s="2" t="s">
        <v>11</v>
      </c>
      <c r="V12" s="5">
        <v>793</v>
      </c>
      <c r="W12" s="8">
        <v>840</v>
      </c>
      <c r="X12">
        <v>22.2</v>
      </c>
      <c r="Y12" s="5">
        <f>5*X12/V12</f>
        <v>0.13997477931904162</v>
      </c>
      <c r="Z12" s="8">
        <f>5*X12/W12</f>
        <v>0.13214285714285715</v>
      </c>
      <c r="AF12" s="105" t="s">
        <v>54</v>
      </c>
    </row>
    <row r="13" spans="1:34">
      <c r="A13" s="5" t="s">
        <v>249</v>
      </c>
      <c r="B13" s="5">
        <f>B6</f>
        <v>13</v>
      </c>
      <c r="C13" s="2"/>
      <c r="D13" s="11" t="s">
        <v>425</v>
      </c>
      <c r="E13" s="12" t="s">
        <v>426</v>
      </c>
      <c r="F13" s="12" t="s">
        <v>427</v>
      </c>
      <c r="G13" s="12" t="s">
        <v>302</v>
      </c>
      <c r="H13" s="12" t="s">
        <v>48</v>
      </c>
      <c r="I13" s="12" t="s">
        <v>43</v>
      </c>
      <c r="J13" s="13" t="s">
        <v>303</v>
      </c>
      <c r="K13" s="2" t="s">
        <v>428</v>
      </c>
      <c r="L13" s="9" t="s">
        <v>112</v>
      </c>
      <c r="M13" s="9" t="s">
        <v>123</v>
      </c>
      <c r="N13" s="9" t="s">
        <v>252</v>
      </c>
      <c r="O13" s="9" t="s">
        <v>119</v>
      </c>
      <c r="P13" t="s">
        <v>383</v>
      </c>
      <c r="Q13" t="s">
        <v>162</v>
      </c>
      <c r="R13">
        <v>9</v>
      </c>
      <c r="T13" s="2"/>
      <c r="U13" s="2"/>
      <c r="V13" s="2"/>
    </row>
    <row r="14" spans="1:34">
      <c r="A14" s="5" t="s">
        <v>109</v>
      </c>
      <c r="B14" s="5">
        <f>B7</f>
        <v>4</v>
      </c>
      <c r="D14" s="35">
        <v>16</v>
      </c>
      <c r="E14" s="32">
        <f>(0.5+(0.00000036*$B$17*$B$18^3*($B$14*0.0254)*($B$13*0.0254)^4)*($B$19+$B$20)*$D14-(0.25-(0.00000036*$B$17*$B$18^3*($B$14*0.0254)*($B$13*0.0254)^4)*(($B$19+$B$20)^2*$B$15-($B$19+$B$20)*$D14))^(1/2))/((0.00000036*$B$17*$B$18^3*($B$14*0.0254)*($B$13*0.0254)^4)*($B$19+$B$20)^2)</f>
        <v>21.895979921147386</v>
      </c>
      <c r="F14" s="36">
        <f>D14*E14</f>
        <v>350.33567873835818</v>
      </c>
      <c r="G14" s="36">
        <f>(D14-($B$19+$B$20)*E14)*(E14-$B$15)</f>
        <v>280.83100915489996</v>
      </c>
      <c r="H14" s="36">
        <f t="shared" ref="H14:H16" si="1">G14/F14*100</f>
        <v>80.160550637102958</v>
      </c>
      <c r="I14" s="36">
        <f>$B$18*(D14-(E14*($B$19+$B$20)))</f>
        <v>8453.8451844799711</v>
      </c>
      <c r="J14" s="36">
        <f>(($B$13*0.0254)^4)*($B$14*0.0254)*(I14^3)*2*$B$17*0.00000018</f>
        <v>280.83100915489968</v>
      </c>
      <c r="K14" s="99">
        <f>$K$12*0.6*((0.6*3.1416*($B$13*0.0254)^2*J14^2)^(1/3))/9.81*1000</f>
        <v>2074.1293670163077</v>
      </c>
      <c r="L14" s="36">
        <f t="shared" ref="L14:L16" si="2">K14/F14</f>
        <v>5.9204057505240097</v>
      </c>
      <c r="M14" s="36">
        <f>1.30652287/($B$13*0.0254)*POWER(K14*0.00981,3/2)</f>
        <v>363.15934092929183</v>
      </c>
      <c r="N14" s="36">
        <f t="shared" ref="N14:N16" si="3">POWER(I14/$B$16,3)*100</f>
        <v>326.24082293733755</v>
      </c>
      <c r="O14" s="36">
        <f>0.65*60*O$11/E14</f>
        <v>2.6717233122551431</v>
      </c>
      <c r="P14" s="33">
        <f t="shared" ref="P14:P19" si="4">($N$2*$Q$1+SQRT($N$2^2*$Q$1^2+4*$N$2*($Y$7-(D14*$Q$1))))/(2*$N$2)</f>
        <v>21.802958002963376</v>
      </c>
      <c r="Q14">
        <f>F14*(O14/60)/K14</f>
        <v>7.5212280622789845E-3</v>
      </c>
      <c r="R14" t="s">
        <v>166</v>
      </c>
      <c r="U14" s="2" t="s">
        <v>197</v>
      </c>
      <c r="V14" s="2" t="s">
        <v>198</v>
      </c>
      <c r="W14" s="2"/>
    </row>
    <row r="15" spans="1:34">
      <c r="A15" s="10" t="s">
        <v>63</v>
      </c>
      <c r="B15" s="5">
        <f>$Q$1</f>
        <v>1.3</v>
      </c>
      <c r="D15" s="14">
        <v>14.8</v>
      </c>
      <c r="E15" s="9">
        <f>(0.5+(0.00000036*$B$17*$B$18^3*($B$14*0.0254)*($B$13*0.0254)^4)*($B$19+$B$20)*$D15-(0.25-(0.00000036*$B$17*$B$18^3*($B$14*0.0254)*($B$13*0.0254)^4)*(($B$19+$B$20)^2*$B$15-($B$19+$B$20)*$D15))^(1/2))/((0.00000036*$B$17*$B$18^3*($B$14*0.0254)*($B$13*0.0254)^4)*($B$19+$B$20)^2)</f>
        <v>19.232118992410165</v>
      </c>
      <c r="F15" s="9">
        <f t="shared" ref="F15:F16" si="5">D15*E15</f>
        <v>284.63536108767045</v>
      </c>
      <c r="G15" s="9">
        <f t="shared" ref="G15:G16" si="6">(D15-($B$19+$B$20)*E15)*(E15-$B$15)</f>
        <v>228.14911529287664</v>
      </c>
      <c r="H15" s="9">
        <f t="shared" si="1"/>
        <v>80.154874089099735</v>
      </c>
      <c r="I15" s="9">
        <f t="shared" ref="I15:I16" si="7">$B$18*(D15-(E15*($B$19+$B$20)))</f>
        <v>7888.2173122682152</v>
      </c>
      <c r="J15" s="9">
        <f t="shared" ref="J15:J16" si="8">(($B$13*0.0254)^4)*($B$14*0.0254)*(I15^3)*2*$B$17*0.00000018</f>
        <v>228.14911529287738</v>
      </c>
      <c r="K15" s="39">
        <f t="shared" ref="K15" si="9">$K$12*0.6*((0.6*3.1416*($B$13*0.0254)^2*J15^2)^(1/3))/9.81*1000</f>
        <v>1805.8638024209606</v>
      </c>
      <c r="L15" s="67">
        <f t="shared" si="2"/>
        <v>6.3444815694025349</v>
      </c>
      <c r="M15" s="9">
        <f t="shared" ref="M15:M16" si="10">1.30652287/($B$13*0.0254)*POWER(K15*0.00981,3/2)</f>
        <v>295.03323935876961</v>
      </c>
      <c r="N15" s="67">
        <f t="shared" si="3"/>
        <v>265.04037196447621</v>
      </c>
      <c r="O15" s="67">
        <f>0.65*60*O$11/E15</f>
        <v>3.0417865042893433</v>
      </c>
      <c r="P15" s="34">
        <f t="shared" si="4"/>
        <v>22.141674590863708</v>
      </c>
      <c r="Q15">
        <f t="shared" ref="Q15:Q19" si="11">F15*(O15/60)/K15</f>
        <v>7.9906358279372928E-3</v>
      </c>
      <c r="T15" s="2" t="s">
        <v>196</v>
      </c>
      <c r="U15">
        <f>1174+U17+(4*U16)</f>
        <v>2297</v>
      </c>
      <c r="V15" s="2">
        <f>2374+U17+(4*U16)</f>
        <v>3497</v>
      </c>
      <c r="W15" s="2"/>
      <c r="X15" s="2"/>
      <c r="Y15" s="2"/>
    </row>
    <row r="16" spans="1:34">
      <c r="A16" s="4" t="s">
        <v>34</v>
      </c>
      <c r="B16" s="4">
        <v>5700</v>
      </c>
      <c r="D16" s="14">
        <v>12.97</v>
      </c>
      <c r="E16" s="9">
        <f t="shared" ref="E16" si="12">(0.5+(0.00000036*$B$17*$B$18^3*($B$14*0.0254)*($B$13*0.0254)^4)*($B$19+$B$20)*$D16-(0.25-(0.00000036*$B$17*$B$18^3*($B$14*0.0254)*($B$13*0.0254)^4)*(($B$19+$B$20)^2*$B$15-($B$19+$B$20)*$D16))^(1/2))/((0.00000036*$B$17*$B$18^3*($B$14*0.0254)*($B$13*0.0254)^4)*($B$19+$B$20)^2)</f>
        <v>15.449110402787667</v>
      </c>
      <c r="F16" s="9">
        <f t="shared" si="5"/>
        <v>200.37496192415605</v>
      </c>
      <c r="G16" s="9">
        <f t="shared" si="6"/>
        <v>159.90611570305504</v>
      </c>
      <c r="H16" s="9">
        <f t="shared" si="1"/>
        <v>79.803441591460469</v>
      </c>
      <c r="I16" s="9">
        <f t="shared" si="7"/>
        <v>7006.9275674293376</v>
      </c>
      <c r="J16" s="9">
        <f t="shared" si="8"/>
        <v>159.90611570305518</v>
      </c>
      <c r="K16" s="42">
        <f>$K$12*0.6*((0.6*3.1416*($B$13*0.0254)^2*J16^2)^(1/3))/9.81*1000</f>
        <v>1424.8938635566017</v>
      </c>
      <c r="L16" s="67">
        <f t="shared" si="2"/>
        <v>7.1111372891785667</v>
      </c>
      <c r="M16" s="9">
        <f t="shared" si="10"/>
        <v>206.78414311880275</v>
      </c>
      <c r="N16" s="67">
        <f t="shared" si="3"/>
        <v>185.76261551979565</v>
      </c>
      <c r="O16" s="67">
        <f t="shared" ref="O16" si="13">0.65*60*O$11/E16</f>
        <v>3.7866257975245063</v>
      </c>
      <c r="P16" s="34">
        <f t="shared" si="4"/>
        <v>22.648178435892245</v>
      </c>
      <c r="Q16">
        <f t="shared" si="11"/>
        <v>8.8748715419656714E-3</v>
      </c>
      <c r="R16" s="2">
        <f>(F16-F17)/(K16-K17)</f>
        <v>0.18388567896129776</v>
      </c>
      <c r="T16" s="2" t="s">
        <v>50</v>
      </c>
      <c r="U16" s="2">
        <v>125</v>
      </c>
      <c r="V16" s="2"/>
      <c r="W16" s="2"/>
      <c r="X16" s="67"/>
      <c r="Y16" s="2"/>
    </row>
    <row r="17" spans="1:30">
      <c r="A17" s="4" t="s">
        <v>110</v>
      </c>
      <c r="B17" s="4">
        <v>1.069</v>
      </c>
      <c r="D17" s="14">
        <v>9.93</v>
      </c>
      <c r="E17" s="9">
        <f>(0.5+(0.00000036*$B$17*$B$18^3*($B$14*0.0254)*($B$13*0.0254)^4)*($B$19+$B$20)*$D17-(0.25-(0.00000036*$B$17*$B$18^3*($B$14*0.0254)*($B$13*0.0254)^4)*(($B$19+$B$20)^2*$B$15-($B$19+$B$20)*$D17))^(1/2))/((0.00000036*$B$17*$B$18^3*($B$14*0.0254)*($B$13*0.0254)^4)*($B$19+$B$20)^2)</f>
        <v>9.9805944818230152</v>
      </c>
      <c r="F17" s="9">
        <f>D17*E17</f>
        <v>99.107303204502543</v>
      </c>
      <c r="G17" s="9">
        <f>(D17-($B$19+$B$20)*E17)*(E17-$B$15)</f>
        <v>76.841453919006113</v>
      </c>
      <c r="H17" s="9">
        <f>G17/F17*100</f>
        <v>77.533593826529554</v>
      </c>
      <c r="I17" s="9">
        <f>$B$18*(D17-(E17*($B$19+$B$20)))</f>
        <v>5488.2993934971309</v>
      </c>
      <c r="J17" s="9">
        <f>(($B$13*0.0254)^4)*($B$14*0.0254)*(I17^3)*2*$B$17*0.00000018</f>
        <v>76.84145391900644</v>
      </c>
      <c r="K17" s="42">
        <f>$K$12*0.6*((0.6*3.1416*($B$13*0.0254)^2*J17^2)^(1/3))/9.81*1000</f>
        <v>874.18399157702675</v>
      </c>
      <c r="L17" s="67">
        <f>K17/F17</f>
        <v>8.8205809593385407</v>
      </c>
      <c r="M17" s="9">
        <f>1.30652287/($B$13*0.0254)*POWER(K17*0.00981,3/2)</f>
        <v>99.368270780534758</v>
      </c>
      <c r="N17" s="67">
        <f>POWER(I17/$B$16,3)*100</f>
        <v>89.266563680689544</v>
      </c>
      <c r="O17" s="67">
        <f>0.65*60*O$11/E17</f>
        <v>5.8613743005531491</v>
      </c>
      <c r="P17" s="34">
        <f t="shared" si="4"/>
        <v>23.464741880852984</v>
      </c>
      <c r="Q17">
        <f t="shared" si="11"/>
        <v>1.1075185651174114E-2</v>
      </c>
      <c r="R17" s="2">
        <f>(F17-F18)/(K17-K18)</f>
        <v>0.14527201564546863</v>
      </c>
      <c r="T17" t="s">
        <v>201</v>
      </c>
      <c r="U17">
        <f>AC17</f>
        <v>623</v>
      </c>
      <c r="V17">
        <v>14.8</v>
      </c>
      <c r="W17" s="2" t="s">
        <v>425</v>
      </c>
      <c r="X17" s="2"/>
      <c r="Y17" s="2"/>
      <c r="AB17" s="114" t="s">
        <v>59</v>
      </c>
      <c r="AC17">
        <v>623</v>
      </c>
      <c r="AD17" t="s">
        <v>130</v>
      </c>
    </row>
    <row r="18" spans="1:30">
      <c r="A18" s="4" t="s">
        <v>157</v>
      </c>
      <c r="B18" s="4">
        <v>620</v>
      </c>
      <c r="D18" s="14">
        <v>7.93</v>
      </c>
      <c r="E18" s="9">
        <f>(0.5+(0.00000036*$B$17*$B$18^3*($B$14*0.0254)*($B$13*0.0254)^4)*($B$19+$B$20)*$D18-(0.25-(0.00000036*$B$17*$B$18^3*($B$14*0.0254)*($B$13*0.0254)^4)*(($B$19+$B$20)^2*$B$15-($B$19+$B$20)*$D18))^(1/2))/((0.00000036*$B$17*$B$18^3*($B$14*0.0254)*($B$13*0.0254)^4)*($B$19+$B$20)^2)</f>
        <v>7.0011779830365493</v>
      </c>
      <c r="F18" s="9">
        <f>D18*E18</f>
        <v>55.519341405479835</v>
      </c>
      <c r="G18" s="9">
        <f>(D18-($B$19+$B$20)*E18)*(E18-$B$15)</f>
        <v>40.899525534081349</v>
      </c>
      <c r="H18" s="9">
        <f>G18/F18*100</f>
        <v>73.66716625000258</v>
      </c>
      <c r="I18" s="9">
        <f>$B$18*(D18-(E18*($B$19+$B$20)))</f>
        <v>4447.8011222558725</v>
      </c>
      <c r="J18" s="9">
        <f>(($B$13*0.0254)^4)*($B$14*0.0254)*(I18^3)*2*$B$17*0.00000018</f>
        <v>40.899525534081612</v>
      </c>
      <c r="K18" s="43">
        <f>$K$12*0.6*((0.6*3.1416*($B$13*0.0254)^2*J18^2)^(1/3))/9.81*1000</f>
        <v>574.14023156341455</v>
      </c>
      <c r="L18" s="67">
        <f>K18/F18</f>
        <v>10.341265170460868</v>
      </c>
      <c r="M18" s="9">
        <f>1.30652287/($B$13*0.0254)*POWER(K18*0.00981,3/2)</f>
        <v>52.889617788202415</v>
      </c>
      <c r="N18" s="67">
        <f>POWER(I18/$B$16,3)*100</f>
        <v>47.512897197993205</v>
      </c>
      <c r="O18" s="67">
        <f>0.65*60*O$11/E18</f>
        <v>8.3557367262683684</v>
      </c>
      <c r="P18" s="34">
        <f t="shared" si="4"/>
        <v>23.986377635871879</v>
      </c>
      <c r="Q18">
        <f>F18*(O18/60)/K18</f>
        <v>1.3466657751793547E-2</v>
      </c>
      <c r="R18" s="2">
        <f>(F18-F19)/(K18-K19)</f>
        <v>0.12161455128221287</v>
      </c>
      <c r="T18" s="2" t="s">
        <v>51</v>
      </c>
      <c r="U18" s="2">
        <f>1174/4+$U17/4+$U16</f>
        <v>574.25</v>
      </c>
      <c r="V18" s="2">
        <f>2374/4+$U17/4+$U16</f>
        <v>874.25</v>
      </c>
      <c r="W18">
        <f>V15*1.63/4</f>
        <v>1425.0274999999999</v>
      </c>
      <c r="X18" s="2" t="s">
        <v>164</v>
      </c>
      <c r="Y18" s="2"/>
      <c r="AC18">
        <v>6000</v>
      </c>
      <c r="AD18" t="s">
        <v>240</v>
      </c>
    </row>
    <row r="19" spans="1:30">
      <c r="A19" s="4" t="s">
        <v>158</v>
      </c>
      <c r="B19" s="4">
        <v>0.108</v>
      </c>
      <c r="D19" s="16">
        <v>6.75</v>
      </c>
      <c r="E19" s="17">
        <f>(0.5+(0.00000036*$B$17*$B$18^3*($B$14*0.0254)*($B$13*0.0254)^4)*($B$19+$B$20)*$D19-(0.25-(0.00000036*$B$17*$B$18^3*($B$14*0.0254)*($B$13*0.0254)^4)*(($B$19+$B$20)^2*$B$15-($B$19+$B$20)*$D19))^(1/2))/((0.00000036*$B$17*$B$18^3*($B$14*0.0254)*($B$13*0.0254)^4)*($B$19+$B$20)^2)</f>
        <v>5.4983582764022465</v>
      </c>
      <c r="F19" s="17">
        <f>D19*E19</f>
        <v>37.113918365715165</v>
      </c>
      <c r="G19" s="17">
        <f>(D19-($B$19+$B$20)*E19)*(E19-$B$15)</f>
        <v>25.845837944268485</v>
      </c>
      <c r="H19" s="17">
        <f>G19/F19*100</f>
        <v>69.639205673697262</v>
      </c>
      <c r="I19" s="17">
        <f>$B$18*(D19-(E19*($B$19+$B$20)))</f>
        <v>3816.8299298121055</v>
      </c>
      <c r="J19" s="17">
        <f>(($B$13*0.0254)^4)*($B$14*0.0254)*(I19^3)*2*$B$17*0.00000018</f>
        <v>25.845837944268261</v>
      </c>
      <c r="K19" s="44">
        <f>$K$12*0.6*((0.6*3.1416*($B$13*0.0254)^2*J19^2)^(1/3))/9.81*1000</f>
        <v>422.7979551194228</v>
      </c>
      <c r="L19" s="67">
        <f>K19/F19</f>
        <v>11.391897534322114</v>
      </c>
      <c r="M19" s="9">
        <f>1.30652287/($B$13*0.0254)*POWER(K19*0.00981,3/2)</f>
        <v>33.422795801116685</v>
      </c>
      <c r="N19" s="67">
        <f>POWER(I19/$B$16,3)*100</f>
        <v>30.025058364520813</v>
      </c>
      <c r="O19" s="67">
        <f>0.65*60*O$11/E19</f>
        <v>10.639539487826617</v>
      </c>
      <c r="P19" s="34">
        <f t="shared" si="4"/>
        <v>24.288744147431458</v>
      </c>
      <c r="Q19">
        <f t="shared" si="11"/>
        <v>1.5565945672894922E-2</v>
      </c>
    </row>
    <row r="20" spans="1:30">
      <c r="A20" s="4" t="s">
        <v>250</v>
      </c>
      <c r="B20" s="4">
        <v>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8"/>
      <c r="R20" s="2"/>
      <c r="W20" s="2"/>
      <c r="X20" s="2"/>
      <c r="Y20" s="2"/>
    </row>
    <row r="21" spans="1:30">
      <c r="C21" s="2"/>
      <c r="D21" s="9"/>
      <c r="E21" s="9"/>
      <c r="F21" s="9"/>
      <c r="G21" s="9"/>
      <c r="H21" s="9"/>
      <c r="I21" s="9"/>
      <c r="K21" s="9"/>
      <c r="L21" s="9"/>
      <c r="M21" s="9"/>
      <c r="N21" s="9"/>
      <c r="O21" s="9"/>
      <c r="P21" s="36"/>
      <c r="T21" s="2"/>
      <c r="U21" s="2"/>
      <c r="V21" s="2"/>
      <c r="W21" s="2"/>
      <c r="X21" s="2"/>
      <c r="Y21" s="2"/>
    </row>
    <row r="22" spans="1:30"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88"/>
      <c r="R22" s="2"/>
    </row>
    <row r="23" spans="1:30">
      <c r="U23" s="2"/>
      <c r="V23" s="2"/>
    </row>
    <row r="24" spans="1:30">
      <c r="O24" s="186" t="s">
        <v>313</v>
      </c>
      <c r="P24" s="186"/>
      <c r="T24" s="2"/>
      <c r="U24" s="2"/>
      <c r="V24" s="2"/>
      <c r="W24" s="2"/>
    </row>
    <row r="25" spans="1:30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14">
        <f>AC32/4000</f>
        <v>2</v>
      </c>
      <c r="P25" s="89" t="s">
        <v>394</v>
      </c>
      <c r="T25" s="2"/>
      <c r="U25" s="2"/>
      <c r="V25" s="2"/>
      <c r="W25" s="2"/>
    </row>
    <row r="26" spans="1:30" ht="16">
      <c r="D26" s="82" t="s">
        <v>265</v>
      </c>
      <c r="E26" s="83"/>
      <c r="F26" s="83"/>
      <c r="G26" s="83"/>
      <c r="H26" s="83"/>
      <c r="I26" s="83"/>
      <c r="J26" s="84"/>
      <c r="K26" s="2"/>
      <c r="M26" s="2" t="s">
        <v>113</v>
      </c>
      <c r="N26" s="2" t="s">
        <v>113</v>
      </c>
      <c r="O26" s="89" t="s">
        <v>116</v>
      </c>
      <c r="T26" s="100"/>
      <c r="U26" s="2"/>
      <c r="V26" s="2"/>
      <c r="W26" s="2"/>
    </row>
    <row r="27" spans="1:30">
      <c r="A27" s="10" t="s">
        <v>63</v>
      </c>
      <c r="B27" s="117">
        <f>'AX2810Q-750Kv'!B14</f>
        <v>0.6</v>
      </c>
      <c r="D27" s="11" t="s">
        <v>425</v>
      </c>
      <c r="E27" s="12" t="s">
        <v>426</v>
      </c>
      <c r="F27" s="12" t="s">
        <v>262</v>
      </c>
      <c r="G27" s="12" t="s">
        <v>127</v>
      </c>
      <c r="H27" s="12" t="s">
        <v>128</v>
      </c>
      <c r="I27" s="12" t="s">
        <v>129</v>
      </c>
      <c r="J27" s="13" t="s">
        <v>24</v>
      </c>
      <c r="K27" s="2" t="s">
        <v>25</v>
      </c>
      <c r="L27" s="9" t="s">
        <v>26</v>
      </c>
      <c r="M27" s="9" t="s">
        <v>133</v>
      </c>
      <c r="N27" s="9" t="s">
        <v>268</v>
      </c>
      <c r="O27" s="89" t="s">
        <v>118</v>
      </c>
      <c r="P27" t="s">
        <v>269</v>
      </c>
      <c r="Q27" t="s">
        <v>320</v>
      </c>
      <c r="R27" s="8">
        <v>1</v>
      </c>
      <c r="U27" s="2"/>
      <c r="V27" s="2"/>
    </row>
    <row r="28" spans="1:30" ht="15" customHeight="1">
      <c r="A28" s="5" t="s">
        <v>269</v>
      </c>
      <c r="B28" s="94">
        <f>'AX2810Q-750Kv'!B17</f>
        <v>30</v>
      </c>
      <c r="D28" s="35">
        <f>'AX2810Q-750Kv'!D13</f>
        <v>29.8</v>
      </c>
      <c r="E28" s="32">
        <f>'AX2810Q-750Kv'!E13</f>
        <v>20.025138175871582</v>
      </c>
      <c r="F28" s="36">
        <f>'AX2810Q-750Kv'!F13</f>
        <v>596.74911764097317</v>
      </c>
      <c r="G28" s="36">
        <f>'AX2810Q-750Kv'!G13</f>
        <v>536.08009927467822</v>
      </c>
      <c r="H28" s="36">
        <f>'AX2810Q-750Kv'!H13</f>
        <v>89.833412974932003</v>
      </c>
      <c r="I28" s="36">
        <f>'AX2810Q-750Kv'!I13</f>
        <v>10486.949224248568</v>
      </c>
      <c r="J28" s="37">
        <f>'AX2810Q-750Kv'!J13</f>
        <v>536.08009927467413</v>
      </c>
      <c r="K28" s="36">
        <f>'AX2810Q-750Kv'!K13</f>
        <v>3191.7259193260666</v>
      </c>
      <c r="L28" s="36">
        <f>'AX2810Q-750Kv'!L13</f>
        <v>5.3485222264649073</v>
      </c>
      <c r="M28" s="36">
        <f>'AX2810Q-750Kv'!M13</f>
        <v>693.23717535237597</v>
      </c>
      <c r="N28" s="36">
        <f>'AX2810Q-750Kv'!N13</f>
        <v>622.76318158025572</v>
      </c>
      <c r="O28" s="36">
        <f>'AX2810Q-750Kv'!O13</f>
        <v>3.8951042092674646</v>
      </c>
      <c r="P28" s="32">
        <f>'AX2810Q-750Kv'!P13</f>
        <v>18.158000498885137</v>
      </c>
      <c r="Q28">
        <f t="shared" ref="Q28:Q33" si="14">L28*5*V$31/U$31</f>
        <v>0.537272368450321</v>
      </c>
      <c r="R28" t="s">
        <v>166</v>
      </c>
      <c r="T28" s="2"/>
      <c r="U28" s="2" t="s">
        <v>197</v>
      </c>
      <c r="V28" s="2" t="s">
        <v>198</v>
      </c>
    </row>
    <row r="29" spans="1:30" ht="17" customHeight="1">
      <c r="A29" s="5" t="s">
        <v>17</v>
      </c>
      <c r="B29" s="94">
        <f>'AX2810Q-750Kv'!B18</f>
        <v>444</v>
      </c>
      <c r="D29" s="56">
        <f>'AX2810Q-750Kv'!D14</f>
        <v>22.2</v>
      </c>
      <c r="E29" s="36">
        <f>'AX2810Q-750Kv'!E14</f>
        <v>11.749134291403511</v>
      </c>
      <c r="F29" s="36">
        <f>'AX2810Q-750Kv'!F14</f>
        <v>260.83078126915791</v>
      </c>
      <c r="G29" s="36">
        <f>'AX2810Q-750Kv'!G14</f>
        <v>233.10158690667285</v>
      </c>
      <c r="H29" s="36">
        <f>'AX2810Q-750Kv'!H14</f>
        <v>89.368894948840179</v>
      </c>
      <c r="I29" s="36">
        <f>'AX2810Q-750Kv'!I14</f>
        <v>7944.8861866193329</v>
      </c>
      <c r="J29" s="37">
        <f>'AX2810Q-750Kv'!J14</f>
        <v>233.10158690666879</v>
      </c>
      <c r="K29" s="63">
        <f>'AX2810Q-750Kv'!K14</f>
        <v>1831.9036175567717</v>
      </c>
      <c r="L29" s="36">
        <f>'AX2810Q-750Kv'!L14</f>
        <v>7.0233413734492629</v>
      </c>
      <c r="M29" s="36">
        <f>'AX2810Q-750Kv'!M14</f>
        <v>301.43757601891195</v>
      </c>
      <c r="N29" s="36">
        <f>'AX2810Q-750Kv'!N14</f>
        <v>270.79364835556697</v>
      </c>
      <c r="O29" s="36">
        <f>'AX2810Q-750Kv'!O14</f>
        <v>6.6387870004235339</v>
      </c>
      <c r="P29" s="97">
        <f>'AX2810Q-750Kv'!P14</f>
        <v>19.283222257370515</v>
      </c>
      <c r="Q29">
        <f t="shared" si="14"/>
        <v>0.70551211986684903</v>
      </c>
      <c r="R29" s="2">
        <f>(F29-F31)/(K29-K31)</f>
        <v>0.18136682835216281</v>
      </c>
      <c r="T29" s="2" t="s">
        <v>196</v>
      </c>
      <c r="U29">
        <f>1174+U31+(4*U30)</f>
        <v>2559</v>
      </c>
      <c r="V29" s="2">
        <f>2374+U31+(4*U30)</f>
        <v>3759</v>
      </c>
    </row>
    <row r="30" spans="1:30">
      <c r="A30" s="5" t="s">
        <v>157</v>
      </c>
      <c r="B30" s="94">
        <f>'AX2810Q-750Kv'!B19</f>
        <v>380</v>
      </c>
      <c r="D30" s="56">
        <f>'AX2810Q-750Kv'!D15</f>
        <v>19.507999999999999</v>
      </c>
      <c r="E30" s="36">
        <f>'AX2810Q-750Kv'!E15</f>
        <v>9.313672195441292</v>
      </c>
      <c r="F30" s="36">
        <f>'AX2810Q-750Kv'!F15</f>
        <v>181.69111718866873</v>
      </c>
      <c r="G30" s="36">
        <f>'AX2810Q-750Kv'!G15</f>
        <v>161.05912567951287</v>
      </c>
      <c r="H30" s="36">
        <f>'AX2810Q-750Kv'!H15</f>
        <v>88.644468794954065</v>
      </c>
      <c r="I30" s="36">
        <f>'AX2810Q-750Kv'!I15</f>
        <v>7023.7285022305541</v>
      </c>
      <c r="J30" s="37">
        <f>'AX2810Q-750Kv'!J15</f>
        <v>161.05912567951117</v>
      </c>
      <c r="K30" s="65">
        <f>'AX2810Q-750Kv'!K15</f>
        <v>1431.7351643473135</v>
      </c>
      <c r="L30" s="36">
        <f>'AX2810Q-750Kv'!L15</f>
        <v>7.8800504201897468</v>
      </c>
      <c r="M30" s="36">
        <f>'AX2810Q-750Kv'!M15</f>
        <v>208.27516914329607</v>
      </c>
      <c r="N30" s="36">
        <f>'AX2810Q-750Kv'!N15</f>
        <v>187.10206490861466</v>
      </c>
      <c r="O30" s="36">
        <f>'AX2810Q-750Kv'!O15</f>
        <v>8.3747847640781465</v>
      </c>
      <c r="P30" s="97">
        <f>'AX2810Q-750Kv'!P15</f>
        <v>19.66611379798135</v>
      </c>
      <c r="Q30">
        <f t="shared" si="14"/>
        <v>0.79157067569326867</v>
      </c>
      <c r="R30" s="2">
        <f>(F30-F32)/(K30-K32)</f>
        <v>0.15650637992683855</v>
      </c>
      <c r="T30" s="2" t="s">
        <v>50</v>
      </c>
      <c r="U30" s="2">
        <v>70</v>
      </c>
      <c r="V30" s="2"/>
    </row>
    <row r="31" spans="1:30">
      <c r="A31" s="5" t="s">
        <v>158</v>
      </c>
      <c r="B31" s="117">
        <f>'AX2810Q-750Kv'!B20</f>
        <v>0.11</v>
      </c>
      <c r="D31" s="56">
        <f>'AX2810Q-750Kv'!D20</f>
        <v>15.67</v>
      </c>
      <c r="E31" s="36">
        <f>'AX2810Q-750Kv'!E20</f>
        <v>6.3195020271123017</v>
      </c>
      <c r="F31" s="36">
        <f>'AX2810Q-750Kv'!F20</f>
        <v>99.026596764849771</v>
      </c>
      <c r="G31" s="36">
        <f>'AX2810Q-750Kv'!G20</f>
        <v>85.648712252864769</v>
      </c>
      <c r="H31" s="36">
        <f>'AX2810Q-750Kv'!H20</f>
        <v>86.490614694401387</v>
      </c>
      <c r="I31" s="36">
        <f>'AX2810Q-750Kv'!I20</f>
        <v>5690.4448152667055</v>
      </c>
      <c r="J31" s="37">
        <f>'AX2810Q-750Kv'!J20</f>
        <v>85.648712252864627</v>
      </c>
      <c r="K31" s="65">
        <f>'AX2810Q-750Kv'!K20</f>
        <v>939.76592085442644</v>
      </c>
      <c r="L31" s="36">
        <f>'AX2810Q-750Kv'!L20</f>
        <v>9.4900355213257548</v>
      </c>
      <c r="M31" s="36">
        <f>'AX2810Q-750Kv'!M20</f>
        <v>110.75746224319762</v>
      </c>
      <c r="N31" s="36">
        <f>'AX2810Q-750Kv'!N20</f>
        <v>99.497938112260186</v>
      </c>
      <c r="O31" s="36">
        <f>'AX2810Q-750Kv'!O20</f>
        <v>12.342744675982345</v>
      </c>
      <c r="P31" s="97">
        <f>'AX2810Q-750Kv'!P20</f>
        <v>20.199269059211925</v>
      </c>
      <c r="Q31" s="2">
        <f t="shared" si="14"/>
        <v>0.95329768585263219</v>
      </c>
      <c r="R31" s="2">
        <f>(F31-F32)/(K31-K32)</f>
        <v>0.13761172239725672</v>
      </c>
      <c r="T31" t="s">
        <v>201</v>
      </c>
      <c r="U31">
        <f>AC31</f>
        <v>1105</v>
      </c>
      <c r="V31">
        <v>22.2</v>
      </c>
      <c r="W31" t="s">
        <v>264</v>
      </c>
      <c r="AB31" s="105" t="s">
        <v>54</v>
      </c>
      <c r="AC31" s="9">
        <v>1105</v>
      </c>
      <c r="AD31" s="67" t="s">
        <v>130</v>
      </c>
    </row>
    <row r="32" spans="1:30">
      <c r="D32" s="56">
        <f>'AX2810Q-750Kv'!D24</f>
        <v>12.85</v>
      </c>
      <c r="E32" s="36">
        <f>'AX2810Q-750Kv'!E24</f>
        <v>4.4937394915650151</v>
      </c>
      <c r="F32" s="36">
        <f>'AX2810Q-750Kv'!F24</f>
        <v>57.744552466610443</v>
      </c>
      <c r="G32" s="36">
        <f>'AX2810Q-750Kv'!G24</f>
        <v>48.109832865068121</v>
      </c>
      <c r="H32" s="36">
        <f>'AX2810Q-750Kv'!H24</f>
        <v>83.314928958686806</v>
      </c>
      <c r="I32" s="36">
        <f>'AX2810Q-750Kv'!I24</f>
        <v>4695.1616892525826</v>
      </c>
      <c r="J32" s="37">
        <f>'AX2810Q-750Kv'!J24</f>
        <v>48.10983286507016</v>
      </c>
      <c r="K32" s="66">
        <f>'AX2810Q-750Kv'!K24</f>
        <v>639.77662067644769</v>
      </c>
      <c r="L32" s="36">
        <f>'AX2810Q-750Kv'!L24</f>
        <v>11.079428159849103</v>
      </c>
      <c r="M32" s="36">
        <f>'AX2810Q-750Kv'!M24</f>
        <v>62.213696585979093</v>
      </c>
      <c r="N32" s="36">
        <f>'AX2810Q-750Kv'!N24</f>
        <v>55.889096836243787</v>
      </c>
      <c r="O32" s="36">
        <f>'AX2810Q-750Kv'!O24</f>
        <v>17.357481479825452</v>
      </c>
      <c r="P32" s="97">
        <f>'AX2810Q-750Kv'!P24</f>
        <v>20.582078968210514</v>
      </c>
      <c r="Q32" s="2">
        <f t="shared" si="14"/>
        <v>1.1129561318943442</v>
      </c>
      <c r="R32" s="2">
        <f>(F32-F33)/(K32-K33)</f>
        <v>0.1129495614188261</v>
      </c>
      <c r="T32" s="2" t="s">
        <v>51</v>
      </c>
      <c r="U32" s="2">
        <f>1174/4+$U31/4+$U30</f>
        <v>639.75</v>
      </c>
      <c r="V32" s="2">
        <f>2374/4+$U31/4+$U30</f>
        <v>939.75</v>
      </c>
      <c r="W32">
        <f>V29*1.63/4</f>
        <v>1531.7924999999998</v>
      </c>
      <c r="X32" t="s">
        <v>130</v>
      </c>
      <c r="AC32">
        <v>8000</v>
      </c>
      <c r="AD32" t="s">
        <v>240</v>
      </c>
    </row>
    <row r="33" spans="1:41">
      <c r="D33" s="60">
        <f>'AX2810Q-750Kv'!D25</f>
        <v>10.1</v>
      </c>
      <c r="E33" s="61">
        <f>'AX2810Q-750Kv'!E25</f>
        <v>3.0327727884645301</v>
      </c>
      <c r="F33" s="61">
        <f>'AX2810Q-750Kv'!F25</f>
        <v>30.631005163491754</v>
      </c>
      <c r="G33" s="61">
        <f>'AX2810Q-750Kv'!G25</f>
        <v>23.759419981020812</v>
      </c>
      <c r="H33" s="61">
        <f>'AX2810Q-750Kv'!H25</f>
        <v>77.566569736141105</v>
      </c>
      <c r="I33" s="61">
        <f>'AX2810Q-750Kv'!I25</f>
        <v>3711.2300974421828</v>
      </c>
      <c r="J33" s="62">
        <f>'AX2810Q-750Kv'!J25</f>
        <v>23.759419981021122</v>
      </c>
      <c r="K33" s="36">
        <f>'AX2810Q-750Kv'!K25</f>
        <v>399.72657566051828</v>
      </c>
      <c r="L33" s="36">
        <f>'AX2810Q-750Kv'!L25</f>
        <v>13.049737464604698</v>
      </c>
      <c r="M33" s="36">
        <f>'AX2810Q-750Kv'!M25</f>
        <v>30.724724193155701</v>
      </c>
      <c r="N33" s="36">
        <f>'AX2810Q-750Kv'!N25</f>
        <v>27.601270780060911</v>
      </c>
      <c r="O33" s="36">
        <f>'AX2810Q-750Kv'!O25</f>
        <v>25.719038464299466</v>
      </c>
      <c r="P33" s="97">
        <f>'AX2810Q-750Kv'!P25</f>
        <v>20.948552667747133</v>
      </c>
      <c r="Q33" s="2">
        <f t="shared" si="14"/>
        <v>1.3108786050417387</v>
      </c>
      <c r="R33" s="2"/>
    </row>
    <row r="34" spans="1:41">
      <c r="Q34" s="2"/>
      <c r="R34" s="2"/>
    </row>
    <row r="35" spans="1:41">
      <c r="Q35" s="2"/>
      <c r="R35" s="2"/>
    </row>
    <row r="36" spans="1:41">
      <c r="Q36" s="2"/>
      <c r="R36" s="2"/>
    </row>
    <row r="37" spans="1:41">
      <c r="O37" s="186" t="s">
        <v>313</v>
      </c>
      <c r="P37" s="186"/>
      <c r="Q37" s="2"/>
      <c r="R37" s="2"/>
    </row>
    <row r="38" spans="1:41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14">
        <f>AC45/4000</f>
        <v>2</v>
      </c>
      <c r="P38" s="89" t="s">
        <v>394</v>
      </c>
      <c r="Q38" s="2"/>
      <c r="R38" s="2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</row>
    <row r="39" spans="1:41" ht="16">
      <c r="D39" s="82" t="s">
        <v>346</v>
      </c>
      <c r="E39" s="83"/>
      <c r="F39" s="83"/>
      <c r="G39" s="83"/>
      <c r="H39" s="83"/>
      <c r="I39" s="83"/>
      <c r="J39" s="84"/>
      <c r="K39" s="2"/>
      <c r="M39" s="2" t="s">
        <v>113</v>
      </c>
      <c r="N39" s="2" t="s">
        <v>113</v>
      </c>
      <c r="O39" s="89" t="s">
        <v>116</v>
      </c>
      <c r="Q39" s="2"/>
      <c r="R39" s="2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</row>
    <row r="40" spans="1:41">
      <c r="A40" s="10" t="s">
        <v>63</v>
      </c>
      <c r="B40" s="5">
        <f>'3508-380Kv'!B14</f>
        <v>0.3</v>
      </c>
      <c r="D40" s="11" t="s">
        <v>425</v>
      </c>
      <c r="E40" s="12" t="s">
        <v>426</v>
      </c>
      <c r="F40" s="12" t="s">
        <v>427</v>
      </c>
      <c r="G40" s="12" t="s">
        <v>302</v>
      </c>
      <c r="H40" s="12" t="s">
        <v>48</v>
      </c>
      <c r="I40" s="12" t="s">
        <v>43</v>
      </c>
      <c r="J40" s="13" t="s">
        <v>303</v>
      </c>
      <c r="K40" s="2" t="s">
        <v>428</v>
      </c>
      <c r="L40" s="9" t="s">
        <v>112</v>
      </c>
      <c r="M40" s="9" t="s">
        <v>123</v>
      </c>
      <c r="N40" s="9" t="s">
        <v>252</v>
      </c>
      <c r="O40" s="89" t="s">
        <v>118</v>
      </c>
      <c r="P40" t="s">
        <v>383</v>
      </c>
      <c r="Q40" t="s">
        <v>320</v>
      </c>
      <c r="R40" s="8">
        <v>3</v>
      </c>
      <c r="Z40" s="119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</row>
    <row r="41" spans="1:41">
      <c r="A41" s="5" t="s">
        <v>383</v>
      </c>
      <c r="B41" s="5">
        <f>'3508-380Kv'!B17</f>
        <v>14</v>
      </c>
      <c r="D41" s="35">
        <f>'3508-380Kv'!D13</f>
        <v>20.8</v>
      </c>
      <c r="E41" s="36">
        <f>'3508-380Kv'!E13</f>
        <v>9.4252253994596469</v>
      </c>
      <c r="F41" s="36">
        <f>'3508-380Kv'!F13</f>
        <v>196.04468830876067</v>
      </c>
      <c r="G41" s="36">
        <f>'3508-380Kv'!G13</f>
        <v>172.6032270666044</v>
      </c>
      <c r="H41" s="36">
        <f>'3508-380Kv'!H13</f>
        <v>88.042797055925774</v>
      </c>
      <c r="I41" s="36">
        <f>'3508-380Kv'!I13</f>
        <v>7187.6828696410676</v>
      </c>
      <c r="J41" s="37">
        <f>'3508-380Kv'!J13</f>
        <v>172.60322706660307</v>
      </c>
      <c r="K41" s="36">
        <f>'3508-380Kv'!K13</f>
        <v>1499.3570786191387</v>
      </c>
      <c r="L41" s="36">
        <f>'3508-380Kv'!L13</f>
        <v>7.6480372488221953</v>
      </c>
      <c r="M41" s="36">
        <f>'3508-380Kv'!M13</f>
        <v>223.20353572209081</v>
      </c>
      <c r="N41" s="36">
        <f>'3508-380Kv'!N13</f>
        <v>200.51282445376017</v>
      </c>
      <c r="O41" s="36">
        <f>'3508-380Kv'!O13</f>
        <v>8.2756641559438755</v>
      </c>
      <c r="P41" s="32">
        <f>'3508-380Kv'!P13</f>
        <v>9.197947675736037</v>
      </c>
      <c r="Q41" s="2">
        <f t="shared" ref="Q41:Q46" si="15">L41*5*V$44/U$44</f>
        <v>0.76826437522105306</v>
      </c>
      <c r="R41" t="s">
        <v>166</v>
      </c>
      <c r="T41" s="2"/>
      <c r="U41" s="2" t="s">
        <v>197</v>
      </c>
      <c r="V41" s="2" t="s">
        <v>198</v>
      </c>
      <c r="W41" s="2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</row>
    <row r="42" spans="1:41" ht="17">
      <c r="A42" s="5" t="s">
        <v>17</v>
      </c>
      <c r="B42" s="5">
        <f>'3508-380Kv'!B18</f>
        <v>320</v>
      </c>
      <c r="D42" s="56">
        <f>'3508-380Kv'!D14</f>
        <v>20.5</v>
      </c>
      <c r="E42" s="36">
        <f>'3508-380Kv'!E14</f>
        <v>9.1839424300289547</v>
      </c>
      <c r="F42" s="36">
        <f>'3508-380Kv'!F14</f>
        <v>188.27081981559357</v>
      </c>
      <c r="G42" s="36">
        <f>'3508-380Kv'!G14</f>
        <v>165.80289664977806</v>
      </c>
      <c r="H42" s="36">
        <f>'3508-380Kv'!H14</f>
        <v>88.066168093482432</v>
      </c>
      <c r="I42" s="36">
        <f>'3508-380Kv'!I14</f>
        <v>7092.0203753177993</v>
      </c>
      <c r="J42" s="36">
        <f>'3508-380Kv'!J14</f>
        <v>165.80289664977832</v>
      </c>
      <c r="K42" s="63">
        <f>'3508-380Kv'!K14</f>
        <v>1459.7121041303492</v>
      </c>
      <c r="L42" s="36">
        <f>'3508-380Kv'!L14</f>
        <v>7.7532572788502208</v>
      </c>
      <c r="M42" s="36">
        <f>'3508-380Kv'!M14</f>
        <v>214.40962254381594</v>
      </c>
      <c r="N42" s="36">
        <f>'3508-380Kv'!N14</f>
        <v>192.61289417858524</v>
      </c>
      <c r="O42" s="36">
        <f>'3508-380Kv'!O14</f>
        <v>8.4930845978478207</v>
      </c>
      <c r="P42" s="97">
        <f>'3508-380Kv'!P14</f>
        <v>9.222781114016648</v>
      </c>
      <c r="Q42" s="2">
        <f t="shared" si="15"/>
        <v>0.7788339890971715</v>
      </c>
      <c r="R42" s="2">
        <f>(F42-F44)/(K42-K44)</f>
        <v>0.17608006421984318</v>
      </c>
      <c r="T42" s="2" t="s">
        <v>196</v>
      </c>
      <c r="U42">
        <f>1174+U44+(4*U43)</f>
        <v>2687</v>
      </c>
      <c r="V42" s="2">
        <f>2374+U44+(4*U43)</f>
        <v>3887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</row>
    <row r="43" spans="1:41">
      <c r="A43" s="5" t="s">
        <v>157</v>
      </c>
      <c r="B43" s="5">
        <f>'3508-380Kv'!B19</f>
        <v>380</v>
      </c>
      <c r="D43" s="56">
        <f>'3508-380Kv'!D15</f>
        <v>20.5</v>
      </c>
      <c r="E43" s="36">
        <f>'3508-380Kv'!E15</f>
        <v>9.1839424300289547</v>
      </c>
      <c r="F43" s="36">
        <f>'3508-380Kv'!F15</f>
        <v>188.27081981559357</v>
      </c>
      <c r="G43" s="36">
        <f>'3508-380Kv'!G15</f>
        <v>165.80289664977806</v>
      </c>
      <c r="H43" s="36">
        <f>'3508-380Kv'!H15</f>
        <v>88.066168093482432</v>
      </c>
      <c r="I43" s="36">
        <f>'3508-380Kv'!I15</f>
        <v>7092.0203753177993</v>
      </c>
      <c r="J43" s="36">
        <f>'3508-380Kv'!J15</f>
        <v>165.80289664977832</v>
      </c>
      <c r="K43" s="65">
        <f>'3508-380Kv'!K15</f>
        <v>1459.7121041303492</v>
      </c>
      <c r="L43" s="36">
        <f>'3508-380Kv'!L15</f>
        <v>7.7532572788502208</v>
      </c>
      <c r="M43" s="36">
        <f>'3508-380Kv'!M15</f>
        <v>214.40962254381594</v>
      </c>
      <c r="N43" s="36">
        <f>'3508-380Kv'!N15</f>
        <v>192.61289417858524</v>
      </c>
      <c r="O43" s="36">
        <f>'3508-380Kv'!O15</f>
        <v>8.4930845978478207</v>
      </c>
      <c r="P43" s="97">
        <f>'3508-380Kv'!P15</f>
        <v>9.222781114016648</v>
      </c>
      <c r="Q43" s="2">
        <f t="shared" ref="Q43" si="16">L43*5*V$44/U$44</f>
        <v>0.7788339890971715</v>
      </c>
      <c r="R43" s="2">
        <f>(F43-F45)/(K43-K45)</f>
        <v>0.16354276492708356</v>
      </c>
      <c r="T43" s="2" t="s">
        <v>50</v>
      </c>
      <c r="U43" s="2">
        <v>102</v>
      </c>
      <c r="V43" s="2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</row>
    <row r="44" spans="1:41">
      <c r="A44" s="5" t="s">
        <v>158</v>
      </c>
      <c r="B44" s="8">
        <f>'3508-380Kv'!B20</f>
        <v>0.2</v>
      </c>
      <c r="D44" s="56">
        <f>'3508-380Kv'!D20</f>
        <v>16.47</v>
      </c>
      <c r="E44" s="36">
        <f>'3508-380Kv'!E20</f>
        <v>6.2139029185646164</v>
      </c>
      <c r="F44" s="36">
        <f>'3508-380Kv'!F20</f>
        <v>102.34298106875923</v>
      </c>
      <c r="G44" s="36">
        <f>'3508-380Kv'!G20</f>
        <v>90.05229734760394</v>
      </c>
      <c r="H44" s="36">
        <f>'3508-380Kv'!H20</f>
        <v>87.990692089672677</v>
      </c>
      <c r="I44" s="36">
        <f>'3508-380Kv'!I20</f>
        <v>5786.343378189089</v>
      </c>
      <c r="J44" s="36">
        <f>'3508-380Kv'!J20</f>
        <v>90.05229734760519</v>
      </c>
      <c r="K44" s="65">
        <f>'3508-380Kv'!K20</f>
        <v>971.70774584280389</v>
      </c>
      <c r="L44" s="36">
        <f>'3508-380Kv'!L20</f>
        <v>9.4946203021969922</v>
      </c>
      <c r="M44" s="36">
        <f>'3508-380Kv'!M20</f>
        <v>116.45200098215125</v>
      </c>
      <c r="N44" s="36">
        <f>'3508-380Kv'!N20</f>
        <v>104.61357412947206</v>
      </c>
      <c r="O44" s="36">
        <f>'3508-380Kv'!O20</f>
        <v>12.552497363125468</v>
      </c>
      <c r="P44" s="97">
        <f>'3508-380Kv'!P20</f>
        <v>9.5500189969412919</v>
      </c>
      <c r="Q44" s="2">
        <f t="shared" si="15"/>
        <v>0.9537582385012362</v>
      </c>
      <c r="R44" s="2">
        <f t="shared" ref="R44:R45" si="17">(F44-F45)/(K44-K45)</f>
        <v>0.14313505182350611</v>
      </c>
      <c r="T44" s="89" t="s">
        <v>200</v>
      </c>
      <c r="U44">
        <f>AC44</f>
        <v>1105</v>
      </c>
      <c r="V44">
        <v>22.2</v>
      </c>
      <c r="W44" t="s">
        <v>264</v>
      </c>
      <c r="Z44" s="36"/>
      <c r="AA44" s="36"/>
      <c r="AB44" s="105" t="s">
        <v>54</v>
      </c>
      <c r="AC44" s="9">
        <v>1105</v>
      </c>
      <c r="AD44" s="67" t="s">
        <v>130</v>
      </c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</row>
    <row r="45" spans="1:41">
      <c r="D45" s="56">
        <f>'3508-380Kv'!D24</f>
        <v>13.54</v>
      </c>
      <c r="E45" s="36">
        <f>'3508-380Kv'!E24</f>
        <v>4.3892852322241769</v>
      </c>
      <c r="F45" s="36">
        <f>'3508-380Kv'!F24</f>
        <v>59.430922044315352</v>
      </c>
      <c r="G45" s="36">
        <f>'3508-380Kv'!G24</f>
        <v>51.779114188284552</v>
      </c>
      <c r="H45" s="36">
        <f>'3508-380Kv'!H24</f>
        <v>87.124871038808479</v>
      </c>
      <c r="I45" s="36">
        <f>'3508-380Kv'!I24</f>
        <v>4811.6143223509616</v>
      </c>
      <c r="J45" s="36">
        <f>'3508-380Kv'!J24</f>
        <v>51.779114188285433</v>
      </c>
      <c r="K45" s="66">
        <f>'3508-380Kv'!K24</f>
        <v>671.90655474562277</v>
      </c>
      <c r="L45" s="36">
        <f>'3508-380Kv'!L24</f>
        <v>11.305672731185425</v>
      </c>
      <c r="M45" s="36">
        <f>'3508-380Kv'!M24</f>
        <v>66.95866328688939</v>
      </c>
      <c r="N45" s="36">
        <f>'3508-380Kv'!N24</f>
        <v>60.151693627376922</v>
      </c>
      <c r="O45" s="36">
        <f>'3508-380Kv'!O24</f>
        <v>17.770547110349252</v>
      </c>
      <c r="P45" s="97">
        <f>'3508-380Kv'!P24</f>
        <v>9.7809582671122186</v>
      </c>
      <c r="Q45" s="2">
        <f t="shared" si="15"/>
        <v>1.1356829621371782</v>
      </c>
      <c r="R45" s="2">
        <f t="shared" si="17"/>
        <v>0.11483585637065082</v>
      </c>
      <c r="T45" s="2" t="s">
        <v>51</v>
      </c>
      <c r="U45" s="2">
        <f>1174/4+$U44/4+$U43</f>
        <v>671.75</v>
      </c>
      <c r="V45" s="2">
        <f>2374/4+$U44/4+$U43</f>
        <v>971.75</v>
      </c>
      <c r="W45">
        <f>V42*1.63/4</f>
        <v>1583.9524999999999</v>
      </c>
      <c r="X45" t="s">
        <v>130</v>
      </c>
      <c r="Z45" s="36"/>
      <c r="AA45" s="36"/>
      <c r="AC45">
        <v>8000</v>
      </c>
      <c r="AD45" t="s">
        <v>240</v>
      </c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</row>
    <row r="46" spans="1:41">
      <c r="D46" s="60">
        <f>'3508-380Kv'!D25</f>
        <v>10.32</v>
      </c>
      <c r="E46" s="61">
        <f>'3508-380Kv'!E25</f>
        <v>2.7359679565282136</v>
      </c>
      <c r="F46" s="61">
        <f>'3508-380Kv'!F25</f>
        <v>28.235189311371165</v>
      </c>
      <c r="G46" s="61">
        <f>'3508-380Kv'!G25</f>
        <v>23.806243256933026</v>
      </c>
      <c r="H46" s="61">
        <f>'3508-380Kv'!H25</f>
        <v>84.314091166180106</v>
      </c>
      <c r="I46" s="61">
        <f>'3508-380Kv'!I25</f>
        <v>3713.6664353038559</v>
      </c>
      <c r="J46" s="62">
        <f>'3508-380Kv'!J25</f>
        <v>23.806243256932635</v>
      </c>
      <c r="K46" s="36">
        <f>'3508-380Kv'!K25</f>
        <v>400.25157067640447</v>
      </c>
      <c r="L46" s="36">
        <f>'3508-380Kv'!L25</f>
        <v>14.17562907981676</v>
      </c>
      <c r="M46" s="36">
        <f>'3508-380Kv'!M25</f>
        <v>30.785274166149588</v>
      </c>
      <c r="N46" s="36">
        <f>'3508-380Kv'!N25</f>
        <v>27.655665286251541</v>
      </c>
      <c r="O46" s="36">
        <f>'3508-380Kv'!O25</f>
        <v>28.509105822634535</v>
      </c>
      <c r="P46" s="97">
        <f>'3508-380Kv'!P25</f>
        <v>10.028530110439364</v>
      </c>
      <c r="Q46">
        <f t="shared" si="15"/>
        <v>1.4239772197824982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</row>
    <row r="47" spans="1:41"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</row>
    <row r="48" spans="1:41"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8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</row>
    <row r="49" spans="1:41"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</row>
    <row r="50" spans="1:41">
      <c r="O50" s="112" t="s">
        <v>314</v>
      </c>
      <c r="P50" s="89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</row>
    <row r="51" spans="1:41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12">
        <f>AC58/4000</f>
        <v>2</v>
      </c>
      <c r="P51" s="89" t="s">
        <v>394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</row>
    <row r="52" spans="1:41" ht="16">
      <c r="D52" s="82" t="s">
        <v>230</v>
      </c>
      <c r="E52" s="83"/>
      <c r="F52" s="83"/>
      <c r="G52" s="83"/>
      <c r="H52" s="83"/>
      <c r="I52" s="83"/>
      <c r="J52" s="84"/>
      <c r="K52" s="2"/>
      <c r="M52" s="2" t="s">
        <v>113</v>
      </c>
      <c r="N52" s="2" t="s">
        <v>113</v>
      </c>
      <c r="O52" s="89" t="s">
        <v>116</v>
      </c>
    </row>
    <row r="53" spans="1:41">
      <c r="A53" s="10" t="s">
        <v>63</v>
      </c>
      <c r="B53" s="5">
        <f>'4225-390Kv'!B14</f>
        <v>0.2</v>
      </c>
      <c r="D53" s="11" t="s">
        <v>425</v>
      </c>
      <c r="E53" s="12" t="s">
        <v>426</v>
      </c>
      <c r="F53" s="12" t="s">
        <v>427</v>
      </c>
      <c r="G53" s="12" t="s">
        <v>302</v>
      </c>
      <c r="H53" s="12" t="s">
        <v>48</v>
      </c>
      <c r="I53" s="12" t="s">
        <v>43</v>
      </c>
      <c r="J53" s="13" t="s">
        <v>303</v>
      </c>
      <c r="K53" s="2" t="s">
        <v>428</v>
      </c>
      <c r="L53" s="9" t="s">
        <v>112</v>
      </c>
      <c r="M53" s="9" t="s">
        <v>123</v>
      </c>
      <c r="N53" s="9" t="s">
        <v>252</v>
      </c>
      <c r="O53" s="89" t="s">
        <v>118</v>
      </c>
      <c r="P53" t="s">
        <v>383</v>
      </c>
      <c r="Q53" t="s">
        <v>320</v>
      </c>
      <c r="R53">
        <v>2</v>
      </c>
    </row>
    <row r="54" spans="1:41">
      <c r="A54" s="5" t="s">
        <v>383</v>
      </c>
      <c r="B54" s="5">
        <f>'4225-390Kv'!B17</f>
        <v>15</v>
      </c>
      <c r="D54" s="35">
        <v>22.1</v>
      </c>
      <c r="E54" s="9">
        <f>'4225-390Kv'!E13</f>
        <v>10.206570526886221</v>
      </c>
      <c r="F54" s="9">
        <f>'4225-390Kv'!F13</f>
        <v>219.44126632805376</v>
      </c>
      <c r="G54" s="9">
        <f>'4225-390Kv'!G13</f>
        <v>190.6294020524717</v>
      </c>
      <c r="H54" s="9">
        <f>'4225-390Kv'!H13</f>
        <v>86.870352710911831</v>
      </c>
      <c r="I54" s="9">
        <f>'4225-390Kv'!I13</f>
        <v>7429.66499868345</v>
      </c>
      <c r="J54" s="15">
        <f>'4225-390Kv'!J13</f>
        <v>190.62940205247273</v>
      </c>
      <c r="K54" s="9">
        <f>'4225-390Kv'!K13</f>
        <v>1602.0118490244349</v>
      </c>
      <c r="L54" s="9">
        <f>'4225-390Kv'!L13</f>
        <v>7.3004128887476751</v>
      </c>
      <c r="M54" s="9">
        <f>'4225-390Kv'!M13</f>
        <v>246.51425859078111</v>
      </c>
      <c r="N54" s="9">
        <f>'4225-390Kv'!N13</f>
        <v>221.45379596363645</v>
      </c>
      <c r="O54" s="9">
        <f>'4225-390Kv'!O13</f>
        <v>7.6421359941159315</v>
      </c>
      <c r="P54" s="32">
        <f>'4225-390Kv'!P13</f>
        <v>10.212368664165682</v>
      </c>
      <c r="Q54">
        <f t="shared" ref="Q54:Q59" si="18">L54*5*V$57/U$57</f>
        <v>0.73334464312306968</v>
      </c>
      <c r="R54" t="s">
        <v>166</v>
      </c>
      <c r="T54" s="2"/>
      <c r="U54" s="2" t="s">
        <v>197</v>
      </c>
      <c r="V54" s="2" t="s">
        <v>198</v>
      </c>
    </row>
    <row r="55" spans="1:41" ht="17">
      <c r="A55" s="5" t="s">
        <v>17</v>
      </c>
      <c r="B55" s="5">
        <f>'4225-390Kv'!B18</f>
        <v>330</v>
      </c>
      <c r="D55" s="56">
        <f>'4225-390Kv'!D14</f>
        <v>21.4</v>
      </c>
      <c r="E55" s="36">
        <f>'4225-390Kv'!E14</f>
        <v>10.12281113990414</v>
      </c>
      <c r="F55" s="36">
        <f>'4225-390Kv'!F14</f>
        <v>216.62815839394858</v>
      </c>
      <c r="G55" s="36">
        <f>'4225-390Kv'!G14</f>
        <v>188.24094003886384</v>
      </c>
      <c r="H55" s="36">
        <f>'4225-390Kv'!H14</f>
        <v>86.895877911004888</v>
      </c>
      <c r="I55" s="36">
        <f>'4225-390Kv'!I14</f>
        <v>7398.5048773049721</v>
      </c>
      <c r="J55" s="36">
        <f>'4225-390Kv'!J14</f>
        <v>188.24094003886381</v>
      </c>
      <c r="K55" s="63">
        <f>'4225-390Kv'!K14</f>
        <v>1588.6023067589927</v>
      </c>
      <c r="L55" s="36">
        <f>'4225-390Kv'!L14</f>
        <v>7.333314000066621</v>
      </c>
      <c r="M55" s="36">
        <f>'4225-390Kv'!M14</f>
        <v>243.42559579208555</v>
      </c>
      <c r="N55" s="36">
        <f>'4225-390Kv'!N14</f>
        <v>218.67912440859979</v>
      </c>
      <c r="O55" s="36">
        <f>'4225-390Kv'!O14</f>
        <v>7.7053694790890503</v>
      </c>
      <c r="P55" s="97">
        <f>'4225-390Kv'!P14</f>
        <v>10.216488191726086</v>
      </c>
      <c r="Q55">
        <f t="shared" si="18"/>
        <v>0.73664964163565139</v>
      </c>
      <c r="R55" s="2">
        <f>(F55-F57)/(K55-K57)</f>
        <v>0.1843890221832182</v>
      </c>
      <c r="T55" s="2" t="s">
        <v>196</v>
      </c>
      <c r="U55">
        <f>1174+U57+(4*U56)</f>
        <v>2623</v>
      </c>
      <c r="V55" s="2">
        <f>2374+U57+(4*U56)</f>
        <v>3823</v>
      </c>
    </row>
    <row r="56" spans="1:41">
      <c r="A56" s="5" t="s">
        <v>157</v>
      </c>
      <c r="B56" s="5">
        <f>'4225-390Kv'!B19</f>
        <v>390</v>
      </c>
      <c r="D56" s="56">
        <f>'4225-390Kv'!D15</f>
        <v>21.17</v>
      </c>
      <c r="E56" s="36">
        <f>'4225-390Kv'!E15</f>
        <v>9.9312344680324376</v>
      </c>
      <c r="F56" s="36">
        <f>'4225-390Kv'!F15</f>
        <v>210.24423368824671</v>
      </c>
      <c r="G56" s="36">
        <f>'4225-390Kv'!G15</f>
        <v>182.81587260854374</v>
      </c>
      <c r="H56" s="36">
        <f>'4225-390Kv'!H15</f>
        <v>86.954048347231179</v>
      </c>
      <c r="I56" s="36">
        <f>'4225-390Kv'!I15</f>
        <v>7326.736453792164</v>
      </c>
      <c r="J56" s="36">
        <f>'4225-390Kv'!J15</f>
        <v>182.81587260854354</v>
      </c>
      <c r="K56" s="65">
        <f>'4225-390Kv'!K15</f>
        <v>1557.9316491635138</v>
      </c>
      <c r="L56" s="36">
        <f>'4225-390Kv'!L15</f>
        <v>7.4101040577105106</v>
      </c>
      <c r="M56" s="36">
        <f>'4225-390Kv'!M15</f>
        <v>236.41011727202883</v>
      </c>
      <c r="N56" s="36">
        <f>'4225-390Kv'!N15</f>
        <v>212.37683440051174</v>
      </c>
      <c r="O56" s="36">
        <f>'4225-390Kv'!O15</f>
        <v>7.854008507308281</v>
      </c>
      <c r="P56" s="97">
        <f>'4225-390Kv'!P15</f>
        <v>10.225956744920452</v>
      </c>
      <c r="Q56">
        <f t="shared" si="18"/>
        <v>0.74436339403245855</v>
      </c>
      <c r="R56" s="2">
        <f>(F56-F58)/(K56-K58)</f>
        <v>0.17009576077168559</v>
      </c>
      <c r="T56" s="2" t="s">
        <v>50</v>
      </c>
      <c r="U56" s="2">
        <v>86</v>
      </c>
      <c r="V56" s="2"/>
    </row>
    <row r="57" spans="1:41">
      <c r="A57" s="5" t="s">
        <v>158</v>
      </c>
      <c r="B57" s="5">
        <f>'4225-390Kv'!B20</f>
        <v>0.24</v>
      </c>
      <c r="D57" s="56">
        <f>'4225-390Kv'!D21</f>
        <v>16.190000000000001</v>
      </c>
      <c r="E57" s="36">
        <f>'4225-390Kv'!E21</f>
        <v>6.1663168507053516</v>
      </c>
      <c r="F57" s="36">
        <f>'4225-390Kv'!F21</f>
        <v>99.832669812919647</v>
      </c>
      <c r="G57" s="36">
        <f>'4225-390Kv'!G21</f>
        <v>87.765021780963238</v>
      </c>
      <c r="H57" s="36">
        <f>'4225-390Kv'!H21</f>
        <v>87.912125304701902</v>
      </c>
      <c r="I57" s="36">
        <f>'4225-390Kv'!I21</f>
        <v>5736.93274277398</v>
      </c>
      <c r="J57" s="36">
        <f>'4225-390Kv'!J21</f>
        <v>87.765021780963551</v>
      </c>
      <c r="K57" s="65">
        <f>'4225-390Kv'!K21</f>
        <v>955.18342315010261</v>
      </c>
      <c r="L57" s="36">
        <f>'4225-390Kv'!L21</f>
        <v>9.5678441229715503</v>
      </c>
      <c r="M57" s="36">
        <f>'4225-390Kv'!M21</f>
        <v>113.49418841791592</v>
      </c>
      <c r="N57" s="36">
        <f>'4225-390Kv'!N21</f>
        <v>101.95645066795981</v>
      </c>
      <c r="O57" s="36">
        <f>'4225-390Kv'!O21</f>
        <v>12.649366208140561</v>
      </c>
      <c r="P57" s="97">
        <f>'4225-390Kv'!P21</f>
        <v>10.428843110435942</v>
      </c>
      <c r="Q57">
        <f t="shared" si="18"/>
        <v>0.96111375352926887</v>
      </c>
      <c r="R57" s="2">
        <f t="shared" ref="R57:R58" si="19">(F57-F58)/(K57-K58)</f>
        <v>0.14375127064742937</v>
      </c>
      <c r="S57" s="118"/>
      <c r="T57" s="89" t="s">
        <v>200</v>
      </c>
      <c r="U57">
        <f>AC57</f>
        <v>1105</v>
      </c>
      <c r="V57">
        <v>22.2</v>
      </c>
      <c r="W57" t="s">
        <v>264</v>
      </c>
      <c r="AB57" s="105" t="s">
        <v>104</v>
      </c>
      <c r="AC57" s="9">
        <v>1105</v>
      </c>
      <c r="AD57" s="67" t="s">
        <v>130</v>
      </c>
    </row>
    <row r="58" spans="1:41">
      <c r="D58" s="56">
        <f>'4225-390Kv'!D24</f>
        <v>13.22</v>
      </c>
      <c r="E58" s="36">
        <f>'4225-390Kv'!E24</f>
        <v>4.2964009414459126</v>
      </c>
      <c r="F58" s="36">
        <f>'4225-390Kv'!F24</f>
        <v>56.798420445914964</v>
      </c>
      <c r="G58" s="36">
        <f>'4225-390Kv'!G24</f>
        <v>49.930473039186609</v>
      </c>
      <c r="H58" s="36">
        <f>'4225-390Kv'!H24</f>
        <v>87.908207036728768</v>
      </c>
      <c r="I58" s="36">
        <f>'4225-390Kv'!I24</f>
        <v>4753.6568718806629</v>
      </c>
      <c r="J58" s="36">
        <f>'4225-390Kv'!J24</f>
        <v>49.93047303918685</v>
      </c>
      <c r="K58" s="66">
        <f>'4225-390Kv'!K24</f>
        <v>655.81737808360469</v>
      </c>
      <c r="L58" s="36">
        <f>'4225-390Kv'!L24</f>
        <v>11.546401694534662</v>
      </c>
      <c r="M58" s="36">
        <f>'4225-390Kv'!M24</f>
        <v>64.568075070361203</v>
      </c>
      <c r="N58" s="36">
        <f>'4225-390Kv'!N24</f>
        <v>58.004130893430087</v>
      </c>
      <c r="O58" s="36">
        <f>'4225-390Kv'!O24</f>
        <v>18.154730217927437</v>
      </c>
      <c r="P58" s="97">
        <f>'4225-390Kv'!P24</f>
        <v>10.547966309287181</v>
      </c>
      <c r="Q58">
        <f t="shared" si="18"/>
        <v>1.1598647856048394</v>
      </c>
      <c r="R58" s="2">
        <f t="shared" si="19"/>
        <v>0.11483949585929112</v>
      </c>
      <c r="T58" s="2" t="s">
        <v>51</v>
      </c>
      <c r="U58" s="2">
        <f>1174/4+$U57/4+$U56</f>
        <v>655.75</v>
      </c>
      <c r="V58" s="2">
        <f>2374/4+$U57/4+$U56</f>
        <v>955.75</v>
      </c>
      <c r="W58">
        <f>V55*1.63/4</f>
        <v>1557.8724999999999</v>
      </c>
      <c r="X58" t="s">
        <v>130</v>
      </c>
      <c r="AC58">
        <v>8000</v>
      </c>
      <c r="AD58" t="s">
        <v>240</v>
      </c>
    </row>
    <row r="59" spans="1:41">
      <c r="D59" s="60">
        <f>'4225-390Kv'!D25</f>
        <v>10.18</v>
      </c>
      <c r="E59" s="61">
        <f>'4225-390Kv'!E25</f>
        <v>2.7046260955132535</v>
      </c>
      <c r="F59" s="61">
        <f>'4225-390Kv'!F25</f>
        <v>27.533093652324919</v>
      </c>
      <c r="G59" s="61">
        <f>'4225-390Kv'!G25</f>
        <v>23.871315148942053</v>
      </c>
      <c r="H59" s="61">
        <f>'4225-390Kv'!H25</f>
        <v>86.70044656215498</v>
      </c>
      <c r="I59" s="61">
        <f>'4225-390Kv'!I25</f>
        <v>3717.0469974599596</v>
      </c>
      <c r="J59" s="62">
        <f>'4225-390Kv'!J25</f>
        <v>23.871315148942227</v>
      </c>
      <c r="K59" s="36">
        <f>'4225-390Kv'!K25</f>
        <v>400.98060285561309</v>
      </c>
      <c r="L59" s="36">
        <f>'4225-390Kv'!L25</f>
        <v>14.563586929932733</v>
      </c>
      <c r="M59" s="36">
        <f>'4225-390Kv'!M25</f>
        <v>30.86942251389204</v>
      </c>
      <c r="N59" s="36">
        <f>'4225-390Kv'!N25</f>
        <v>27.731259173348189</v>
      </c>
      <c r="O59" s="36">
        <f>'4225-390Kv'!O25</f>
        <v>28.839476232738942</v>
      </c>
      <c r="P59" s="97">
        <f>'4225-390Kv'!P25</f>
        <v>10.668506674707327</v>
      </c>
      <c r="Q59">
        <f t="shared" si="18"/>
        <v>1.4629485513326093</v>
      </c>
    </row>
    <row r="60" spans="1:41"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9"/>
    </row>
    <row r="61" spans="1:41">
      <c r="C61" s="9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9"/>
      <c r="Q61" s="9"/>
      <c r="R61" s="9"/>
      <c r="T61" s="9"/>
    </row>
    <row r="62" spans="1:41">
      <c r="Q62" s="9"/>
      <c r="R62" s="9"/>
      <c r="T62" s="9"/>
    </row>
    <row r="63" spans="1:41">
      <c r="B63" s="2"/>
      <c r="O63" s="186" t="s">
        <v>313</v>
      </c>
      <c r="P63" s="186"/>
    </row>
    <row r="64" spans="1:41">
      <c r="B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114">
        <f>AC71/4000</f>
        <v>2</v>
      </c>
      <c r="P64" s="89" t="s">
        <v>394</v>
      </c>
    </row>
    <row r="65" spans="1:30" ht="16">
      <c r="B65" s="2"/>
      <c r="D65" s="82" t="s">
        <v>216</v>
      </c>
      <c r="E65" s="83"/>
      <c r="F65" s="83"/>
      <c r="G65" s="83"/>
      <c r="H65" s="83"/>
      <c r="I65" s="83"/>
      <c r="J65" s="84"/>
      <c r="K65" s="2"/>
      <c r="M65" s="2" t="s">
        <v>113</v>
      </c>
      <c r="N65" s="2" t="s">
        <v>113</v>
      </c>
      <c r="O65" s="89" t="s">
        <v>116</v>
      </c>
    </row>
    <row r="66" spans="1:30">
      <c r="A66" s="10" t="s">
        <v>63</v>
      </c>
      <c r="B66" s="5">
        <f>'4010-375Kv'!B14</f>
        <v>0.6</v>
      </c>
      <c r="D66" s="11" t="s">
        <v>425</v>
      </c>
      <c r="E66" s="12" t="s">
        <v>426</v>
      </c>
      <c r="F66" s="12" t="s">
        <v>427</v>
      </c>
      <c r="G66" s="12" t="s">
        <v>302</v>
      </c>
      <c r="H66" s="12" t="s">
        <v>48</v>
      </c>
      <c r="I66" s="12" t="s">
        <v>43</v>
      </c>
      <c r="J66" s="13" t="s">
        <v>303</v>
      </c>
      <c r="K66" s="2" t="s">
        <v>428</v>
      </c>
      <c r="L66" s="9" t="s">
        <v>112</v>
      </c>
      <c r="M66" s="9" t="s">
        <v>123</v>
      </c>
      <c r="N66" s="9" t="s">
        <v>252</v>
      </c>
      <c r="O66" s="89" t="s">
        <v>118</v>
      </c>
      <c r="P66" t="s">
        <v>383</v>
      </c>
      <c r="Q66" t="s">
        <v>320</v>
      </c>
      <c r="R66">
        <v>5</v>
      </c>
    </row>
    <row r="67" spans="1:30">
      <c r="A67" s="5" t="s">
        <v>383</v>
      </c>
      <c r="B67" s="5">
        <f>'4010-375Kv'!B17</f>
        <v>20</v>
      </c>
      <c r="D67" s="35">
        <f>'4010-375Kv'!D13</f>
        <v>23.3</v>
      </c>
      <c r="E67" s="36">
        <f>'4010-375Kv'!E13</f>
        <v>12.117181381136113</v>
      </c>
      <c r="F67" s="36">
        <f>'4010-375Kv'!F13</f>
        <v>282.33032618047145</v>
      </c>
      <c r="G67" s="36">
        <f>'4010-375Kv'!G13</f>
        <v>249.64985222398568</v>
      </c>
      <c r="H67" s="36">
        <f>'4010-375Kv'!H13</f>
        <v>88.424738355738754</v>
      </c>
      <c r="I67" s="36">
        <f>'4010-375Kv'!I13</f>
        <v>8128.6116355979102</v>
      </c>
      <c r="J67" s="37">
        <f>'4010-375Kv'!J13</f>
        <v>249.64985222399065</v>
      </c>
      <c r="K67" s="103">
        <f>'4010-375Kv'!K13</f>
        <v>1917.6087781507599</v>
      </c>
      <c r="L67" s="36">
        <f>'4010-375Kv'!L13</f>
        <v>6.7920750990277403</v>
      </c>
      <c r="M67" s="36">
        <f>'4010-375Kv'!M13</f>
        <v>322.83712567778491</v>
      </c>
      <c r="N67" s="36">
        <f>'4010-375Kv'!N13</f>
        <v>290.01773515265813</v>
      </c>
      <c r="O67" s="36">
        <f>'4010-375Kv'!O13</f>
        <v>6.4371405813425797</v>
      </c>
      <c r="P67" s="32">
        <f>'4010-375Kv'!P13</f>
        <v>12.137853526691526</v>
      </c>
      <c r="Q67">
        <f t="shared" ref="Q67:Q72" si="20">L67*5*V$70/U$70</f>
        <v>0.68228084705165526</v>
      </c>
      <c r="R67" t="s">
        <v>166</v>
      </c>
      <c r="T67" s="2"/>
      <c r="U67" s="2" t="s">
        <v>197</v>
      </c>
      <c r="V67" s="2" t="s">
        <v>198</v>
      </c>
    </row>
    <row r="68" spans="1:30" ht="17">
      <c r="A68" s="5" t="s">
        <v>17</v>
      </c>
      <c r="B68" s="5">
        <f>'4010-375Kv'!B18</f>
        <v>450</v>
      </c>
      <c r="D68" s="56">
        <f>'4010-375Kv'!D14</f>
        <v>22.2</v>
      </c>
      <c r="E68" s="36">
        <f>'4010-375Kv'!E14</f>
        <v>11.113969789845836</v>
      </c>
      <c r="F68" s="36">
        <f>'4010-375Kv'!F14</f>
        <v>246.73012933457755</v>
      </c>
      <c r="G68" s="36">
        <f>'4010-375Kv'!G14</f>
        <v>217.75196902407396</v>
      </c>
      <c r="H68" s="36">
        <f>'4010-375Kv'!H14</f>
        <v>88.255118907181426</v>
      </c>
      <c r="I68" s="36">
        <f>'4010-375Kv'!I14</f>
        <v>7766.5230180602466</v>
      </c>
      <c r="J68" s="37">
        <f>'4010-375Kv'!J14</f>
        <v>217.75196902407569</v>
      </c>
      <c r="K68" s="101">
        <f>'4010-375Kv'!K14</f>
        <v>1750.5742156012805</v>
      </c>
      <c r="L68" s="36">
        <f>'4010-375Kv'!L14</f>
        <v>7.0950970614027451</v>
      </c>
      <c r="M68" s="36">
        <f>'4010-375Kv'!M14</f>
        <v>281.58806890595531</v>
      </c>
      <c r="N68" s="36">
        <f>'4010-375Kv'!N14</f>
        <v>252.96202789150092</v>
      </c>
      <c r="O68" s="36">
        <f>'4010-375Kv'!O14</f>
        <v>7.0181943513346505</v>
      </c>
      <c r="P68" s="97">
        <f>'4010-375Kv'!P14</f>
        <v>12.344091881654315</v>
      </c>
      <c r="Q68">
        <f t="shared" si="20"/>
        <v>0.71272015729928029</v>
      </c>
      <c r="R68" s="2">
        <f>(F68-F70)/(K68-K70)</f>
        <v>0.1830856560956666</v>
      </c>
      <c r="T68" s="2" t="s">
        <v>196</v>
      </c>
      <c r="U68">
        <f>1174+U70+(4*U69)</f>
        <v>2791</v>
      </c>
      <c r="V68" s="2">
        <f>2374+U70+(4*U69)</f>
        <v>3991</v>
      </c>
    </row>
    <row r="69" spans="1:30">
      <c r="A69" s="5" t="s">
        <v>157</v>
      </c>
      <c r="B69" s="5">
        <f>'4010-375Kv'!B19</f>
        <v>375</v>
      </c>
      <c r="D69" s="56">
        <f>'4010-375Kv'!D15</f>
        <v>21.35</v>
      </c>
      <c r="E69" s="36">
        <f>'4010-375Kv'!E15</f>
        <v>10.366436332648243</v>
      </c>
      <c r="F69" s="36">
        <f>'4010-375Kv'!F15</f>
        <v>221.32341570204002</v>
      </c>
      <c r="G69" s="36">
        <f>'4010-375Kv'!G15</f>
        <v>194.94683488317909</v>
      </c>
      <c r="H69" s="36">
        <f>'4010-375Kv'!H15</f>
        <v>88.082336098422232</v>
      </c>
      <c r="I69" s="36">
        <f>'4010-375Kv'!I15</f>
        <v>7485.3365742844262</v>
      </c>
      <c r="J69" s="37">
        <f>'4010-375Kv'!J15</f>
        <v>194.94683488318165</v>
      </c>
      <c r="K69" s="101">
        <f>'4010-375Kv'!K15</f>
        <v>1626.1100197146684</v>
      </c>
      <c r="L69" s="36">
        <f>'4010-375Kv'!L15</f>
        <v>7.3472118372863155</v>
      </c>
      <c r="M69" s="36">
        <f>'4010-375Kv'!M15</f>
        <v>252.09738869462922</v>
      </c>
      <c r="N69" s="36">
        <f>'4010-375Kv'!N15</f>
        <v>226.46934906763954</v>
      </c>
      <c r="O69" s="36">
        <f>'4010-375Kv'!O15</f>
        <v>7.5242829355296745</v>
      </c>
      <c r="P69" s="97">
        <f>'4010-375Kv'!P15</f>
        <v>12.501070420376445</v>
      </c>
      <c r="Q69">
        <f t="shared" si="20"/>
        <v>0.73804571397174745</v>
      </c>
      <c r="R69" s="2">
        <f>(F69-F71)/(K69-K71)</f>
        <v>0.16758734021735538</v>
      </c>
      <c r="T69" s="2" t="s">
        <v>50</v>
      </c>
      <c r="U69" s="2">
        <v>128</v>
      </c>
      <c r="V69" s="2"/>
    </row>
    <row r="70" spans="1:30">
      <c r="A70" s="5" t="s">
        <v>158</v>
      </c>
      <c r="B70" s="5">
        <f>'4010-375Kv'!B20</f>
        <v>0.13400000000000001</v>
      </c>
      <c r="D70" s="56">
        <f>'4010-375Kv'!D21</f>
        <v>16.52</v>
      </c>
      <c r="E70" s="36">
        <f>'4010-375Kv'!E21</f>
        <v>6.5931617371900115</v>
      </c>
      <c r="F70" s="36">
        <f>'4010-375Kv'!F21</f>
        <v>108.91903189837899</v>
      </c>
      <c r="G70" s="36">
        <f>'4010-375Kv'!G21</f>
        <v>93.712171355221059</v>
      </c>
      <c r="H70" s="36">
        <f>'4010-375Kv'!H21</f>
        <v>86.038380732812726</v>
      </c>
      <c r="I70" s="36">
        <f>'4010-375Kv'!I21</f>
        <v>5863.6936227062024</v>
      </c>
      <c r="J70" s="37">
        <f>'4010-375Kv'!J21</f>
        <v>93.712171355222694</v>
      </c>
      <c r="K70" s="101">
        <f>'4010-375Kv'!K21</f>
        <v>997.86042919635861</v>
      </c>
      <c r="L70" s="36">
        <f>'4010-375Kv'!L21</f>
        <v>9.1614882340063239</v>
      </c>
      <c r="M70" s="36">
        <f>'4010-375Kv'!M21</f>
        <v>121.18480252173309</v>
      </c>
      <c r="N70" s="36">
        <f>'4010-375Kv'!N21</f>
        <v>108.8652424608475</v>
      </c>
      <c r="O70" s="36">
        <f>'4010-375Kv'!O21</f>
        <v>11.830439341420343</v>
      </c>
      <c r="P70" s="97">
        <f>'4010-375Kv'!P21</f>
        <v>13.357296239062162</v>
      </c>
      <c r="Q70">
        <f t="shared" si="20"/>
        <v>0.92029429318977551</v>
      </c>
      <c r="R70" s="2">
        <f t="shared" ref="R70:R71" si="21">(F70-F71)/(K70-K71)</f>
        <v>0.14392735594227904</v>
      </c>
      <c r="T70" s="89" t="s">
        <v>200</v>
      </c>
      <c r="U70">
        <f>AC70</f>
        <v>1105</v>
      </c>
      <c r="V70">
        <v>22.2</v>
      </c>
      <c r="W70" t="s">
        <v>264</v>
      </c>
      <c r="AB70" s="105" t="s">
        <v>54</v>
      </c>
      <c r="AC70" s="9">
        <v>1105</v>
      </c>
      <c r="AD70" s="67" t="s">
        <v>130</v>
      </c>
    </row>
    <row r="71" spans="1:30">
      <c r="D71" s="56">
        <f>'4010-375Kv'!D24</f>
        <v>13.71</v>
      </c>
      <c r="E71" s="36">
        <f>'4010-375Kv'!E24</f>
        <v>4.7863546427080514</v>
      </c>
      <c r="F71" s="36">
        <f>'4010-375Kv'!F24</f>
        <v>65.620922151527395</v>
      </c>
      <c r="G71" s="36">
        <f>'4010-375Kv'!G24</f>
        <v>54.709913502187547</v>
      </c>
      <c r="H71" s="36">
        <f>'4010-375Kv'!H24</f>
        <v>83.372667905908287</v>
      </c>
      <c r="I71" s="36">
        <f>'4010-375Kv'!I24</f>
        <v>4900.7356792039209</v>
      </c>
      <c r="J71" s="37">
        <f>'4010-375Kv'!J24</f>
        <v>54.709913502190261</v>
      </c>
      <c r="K71" s="102">
        <f>'4010-375Kv'!K24</f>
        <v>697.02734945704924</v>
      </c>
      <c r="L71" s="36">
        <f>'4010-375Kv'!L24</f>
        <v>10.622029173066492</v>
      </c>
      <c r="M71" s="36">
        <f>'4010-375Kv'!M24</f>
        <v>70.748654821074382</v>
      </c>
      <c r="N71" s="36">
        <f>'4010-375Kv'!N24</f>
        <v>63.556397341933966</v>
      </c>
      <c r="O71" s="36">
        <f>'4010-375Kv'!O24</f>
        <v>16.296326917361206</v>
      </c>
      <c r="P71" s="97">
        <f>'4010-375Kv'!P24</f>
        <v>13.830523811991377</v>
      </c>
      <c r="Q71">
        <f t="shared" si="20"/>
        <v>1.0670092653487606</v>
      </c>
      <c r="R71" s="2">
        <f t="shared" si="21"/>
        <v>0.1168179556777095</v>
      </c>
      <c r="T71" s="2" t="s">
        <v>51</v>
      </c>
      <c r="U71" s="2">
        <f>1174/4+$U70/4+$U69</f>
        <v>697.75</v>
      </c>
      <c r="V71" s="2">
        <f>2374/4+$U70/4+$U69</f>
        <v>997.75</v>
      </c>
      <c r="W71">
        <f>V68*1.63/4</f>
        <v>1626.3325</v>
      </c>
      <c r="X71" t="s">
        <v>130</v>
      </c>
      <c r="AC71">
        <v>8000</v>
      </c>
      <c r="AD71" t="s">
        <v>240</v>
      </c>
    </row>
    <row r="72" spans="1:30">
      <c r="D72" s="60">
        <f>'4010-375Kv'!D25</f>
        <v>10.31</v>
      </c>
      <c r="E72" s="61">
        <f>'4010-375Kv'!E25</f>
        <v>3.0059057497368484</v>
      </c>
      <c r="F72" s="61">
        <f>'4010-375Kv'!F25</f>
        <v>30.990888279786908</v>
      </c>
      <c r="G72" s="61">
        <f>'4010-375Kv'!G25</f>
        <v>23.835810205641408</v>
      </c>
      <c r="H72" s="61">
        <f>'4010-375Kv'!H25</f>
        <v>76.912316905700848</v>
      </c>
      <c r="I72" s="61">
        <f>'4010-375Kv'!I25</f>
        <v>3715.203236075723</v>
      </c>
      <c r="J72" s="62">
        <f>'4010-375Kv'!J25</f>
        <v>23.835810205641394</v>
      </c>
      <c r="K72" s="36">
        <f>'4010-375Kv'!K25</f>
        <v>400.58290587098173</v>
      </c>
      <c r="L72" s="36">
        <f>'4010-375Kv'!L25</f>
        <v>12.925828464628188</v>
      </c>
      <c r="M72" s="36">
        <f>'4010-375Kv'!M25</f>
        <v>30.823508952395876</v>
      </c>
      <c r="N72" s="36">
        <f>'4010-375Kv'!N25</f>
        <v>27.69001315156569</v>
      </c>
      <c r="O72" s="36">
        <f>'4010-375Kv'!O25</f>
        <v>25.948917395972412</v>
      </c>
      <c r="P72" s="97">
        <f>'4010-375Kv'!P25</f>
        <v>14.381866183992823</v>
      </c>
      <c r="Q72">
        <f t="shared" si="20"/>
        <v>1.2984316376232841</v>
      </c>
      <c r="T72" s="9"/>
    </row>
    <row r="73" spans="1:30"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88"/>
      <c r="Q73" s="9"/>
      <c r="R73" s="9"/>
      <c r="T73" s="9"/>
    </row>
    <row r="74" spans="1:30"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88"/>
      <c r="Q74" s="9"/>
      <c r="R74" s="9"/>
      <c r="T74" s="9"/>
    </row>
    <row r="76" spans="1:30">
      <c r="O76" s="186" t="s">
        <v>313</v>
      </c>
      <c r="P76" s="186"/>
    </row>
    <row r="77" spans="1:30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114">
        <f>AC84/4000</f>
        <v>2</v>
      </c>
      <c r="P77" s="89" t="s">
        <v>394</v>
      </c>
    </row>
    <row r="78" spans="1:30" ht="16">
      <c r="D78" s="82" t="s">
        <v>46</v>
      </c>
      <c r="E78" s="83"/>
      <c r="F78" s="83"/>
      <c r="G78" s="83"/>
      <c r="H78" s="83"/>
      <c r="I78" s="83"/>
      <c r="J78" s="84"/>
      <c r="K78" s="2"/>
      <c r="M78" s="2" t="s">
        <v>113</v>
      </c>
      <c r="N78" s="2" t="s">
        <v>113</v>
      </c>
      <c r="O78" s="89" t="s">
        <v>116</v>
      </c>
    </row>
    <row r="79" spans="1:30">
      <c r="A79" s="10" t="s">
        <v>63</v>
      </c>
      <c r="B79" s="5">
        <f>'4230-400Kv'!B14</f>
        <v>0.6</v>
      </c>
      <c r="D79" s="11" t="s">
        <v>425</v>
      </c>
      <c r="E79" s="12" t="s">
        <v>426</v>
      </c>
      <c r="F79" s="12" t="s">
        <v>427</v>
      </c>
      <c r="G79" s="12" t="s">
        <v>302</v>
      </c>
      <c r="H79" s="12" t="s">
        <v>48</v>
      </c>
      <c r="I79" s="12" t="s">
        <v>43</v>
      </c>
      <c r="J79" s="13" t="s">
        <v>303</v>
      </c>
      <c r="K79" s="2" t="s">
        <v>428</v>
      </c>
      <c r="L79" s="9" t="s">
        <v>112</v>
      </c>
      <c r="M79" s="9" t="s">
        <v>123</v>
      </c>
      <c r="N79" s="9" t="s">
        <v>252</v>
      </c>
      <c r="O79" s="89" t="s">
        <v>118</v>
      </c>
      <c r="P79" t="s">
        <v>383</v>
      </c>
      <c r="Q79" t="s">
        <v>320</v>
      </c>
      <c r="R79" s="8">
        <v>6</v>
      </c>
    </row>
    <row r="80" spans="1:30">
      <c r="A80" s="5" t="s">
        <v>383</v>
      </c>
      <c r="B80" s="5">
        <f>'4230-400Kv'!B17</f>
        <v>25</v>
      </c>
      <c r="D80" s="35">
        <f>'4230-400Kv'!D13</f>
        <v>23.2</v>
      </c>
      <c r="E80" s="32">
        <f>'4230-400Kv'!E13</f>
        <v>12.685150624108465</v>
      </c>
      <c r="F80" s="32">
        <f>'4230-400Kv'!F13</f>
        <v>294.29549447931635</v>
      </c>
      <c r="G80" s="32">
        <f>'4230-400Kv'!G13</f>
        <v>243.58302504367137</v>
      </c>
      <c r="H80" s="32">
        <f>'4230-400Kv'!H13</f>
        <v>82.768180149897219</v>
      </c>
      <c r="I80" s="32">
        <f>'4230-400Kv'!I13</f>
        <v>8062.2255400855875</v>
      </c>
      <c r="J80" s="104">
        <f>'4230-400Kv'!J13</f>
        <v>243.58302504367154</v>
      </c>
      <c r="K80" s="32">
        <f>'4230-400Kv'!K13</f>
        <v>1886.4145896859952</v>
      </c>
      <c r="L80" s="35">
        <f>'4230-400Kv'!L13</f>
        <v>6.4099336383777903</v>
      </c>
      <c r="M80" s="35">
        <f>'4230-400Kv'!M13</f>
        <v>314.99174931793505</v>
      </c>
      <c r="N80" s="35">
        <f>'4230-400Kv'!N13</f>
        <v>282.96991412362706</v>
      </c>
      <c r="O80" s="35">
        <f>'4230-400Kv'!O13</f>
        <v>6.148921862367084</v>
      </c>
      <c r="P80" s="35">
        <f>'4230-400Kv'!P13</f>
        <v>16.87075737556977</v>
      </c>
      <c r="Q80">
        <f t="shared" ref="Q80:Q85" si="22">L80*5*V$83/U$83</f>
        <v>0.64389378629858351</v>
      </c>
      <c r="R80" t="s">
        <v>166</v>
      </c>
      <c r="T80" s="2"/>
      <c r="U80" s="2" t="s">
        <v>197</v>
      </c>
      <c r="V80" s="2" t="s">
        <v>198</v>
      </c>
    </row>
    <row r="81" spans="1:30" ht="17">
      <c r="A81" s="5" t="s">
        <v>17</v>
      </c>
      <c r="B81" s="5">
        <f>'4230-400Kv'!B18</f>
        <v>550</v>
      </c>
      <c r="D81" s="56">
        <f>'4230-400Kv'!D14</f>
        <v>22.2</v>
      </c>
      <c r="E81" s="36">
        <f>'4230-400Kv'!E14</f>
        <v>11.768013391298263</v>
      </c>
      <c r="F81" s="36">
        <f>'4230-400Kv'!F14</f>
        <v>261.24989728682141</v>
      </c>
      <c r="G81" s="36">
        <f>'4230-400Kv'!G14</f>
        <v>216.38781781250233</v>
      </c>
      <c r="H81" s="36">
        <f>'4230-400Kv'!H14</f>
        <v>82.827905411550901</v>
      </c>
      <c r="I81" s="36">
        <f>'4230-400Kv'!I14</f>
        <v>7750.2707144353662</v>
      </c>
      <c r="J81" s="36">
        <f>'4230-400Kv'!J14</f>
        <v>216.38781781250125</v>
      </c>
      <c r="K81" s="63">
        <f>'4230-400Kv'!K14</f>
        <v>1743.2553432247907</v>
      </c>
      <c r="L81" s="36">
        <f>'4230-400Kv'!L14</f>
        <v>6.6727503487241684</v>
      </c>
      <c r="M81" s="36">
        <f>'4230-400Kv'!M14</f>
        <v>279.82400354716862</v>
      </c>
      <c r="N81" s="36">
        <f>'4230-400Kv'!N14</f>
        <v>251.37729615117686</v>
      </c>
      <c r="O81" s="36">
        <f>'4230-400Kv'!O14</f>
        <v>6.6281365772133043</v>
      </c>
      <c r="P81" s="97">
        <f>'4230-400Kv'!P14</f>
        <v>16.946020545463711</v>
      </c>
      <c r="Q81">
        <f t="shared" si="22"/>
        <v>0.67029437892161325</v>
      </c>
      <c r="R81" s="2">
        <f>(F81-F83)/(K81-K83)</f>
        <v>0.19759957275557127</v>
      </c>
      <c r="T81" s="2" t="s">
        <v>196</v>
      </c>
      <c r="U81">
        <f>1174+U83+(4*U82)</f>
        <v>2831</v>
      </c>
      <c r="V81" s="2">
        <f>2374+U83+(4*U82)</f>
        <v>4031</v>
      </c>
    </row>
    <row r="82" spans="1:30">
      <c r="A82" s="5" t="s">
        <v>157</v>
      </c>
      <c r="B82" s="5">
        <f>'4230-400Kv'!B19</f>
        <v>400</v>
      </c>
      <c r="D82" s="56">
        <f>'4230-400Kv'!D15</f>
        <v>21.48</v>
      </c>
      <c r="E82" s="36">
        <f>'4230-400Kv'!E15</f>
        <v>11.125337190135722</v>
      </c>
      <c r="F82" s="36">
        <f>'4230-400Kv'!F15</f>
        <v>238.97224284411533</v>
      </c>
      <c r="G82" s="36">
        <f>'4230-400Kv'!G15</f>
        <v>197.98074077688281</v>
      </c>
      <c r="H82" s="36">
        <f>'4230-400Kv'!H15</f>
        <v>82.846751748498335</v>
      </c>
      <c r="I82" s="36">
        <f>'4230-400Kv'!I15</f>
        <v>7523.9676297469714</v>
      </c>
      <c r="J82" s="36">
        <f>'4230-400Kv'!J15</f>
        <v>197.98074077688449</v>
      </c>
      <c r="K82" s="65">
        <f>'4230-400Kv'!K15</f>
        <v>1642.9377054869369</v>
      </c>
      <c r="L82" s="36">
        <f>'4230-400Kv'!L15</f>
        <v>6.8750147964198769</v>
      </c>
      <c r="M82" s="36">
        <f>'4230-400Kv'!M15</f>
        <v>256.02071350165176</v>
      </c>
      <c r="N82" s="36">
        <f>'4230-400Kv'!N15</f>
        <v>229.99383149019886</v>
      </c>
      <c r="O82" s="36">
        <f>'4230-400Kv'!O15</f>
        <v>7.0110234563639731</v>
      </c>
      <c r="P82" s="97">
        <f>'4230-400Kv'!P15</f>
        <v>17</v>
      </c>
      <c r="Q82">
        <f t="shared" si="22"/>
        <v>0.69061234606570721</v>
      </c>
      <c r="R82" s="2">
        <f>(F82-F84)/(K82-K84)</f>
        <v>0.18100086949831906</v>
      </c>
      <c r="T82" s="2" t="s">
        <v>50</v>
      </c>
      <c r="U82" s="2">
        <v>138</v>
      </c>
      <c r="V82" s="2"/>
    </row>
    <row r="83" spans="1:30">
      <c r="A83" s="5" t="s">
        <v>158</v>
      </c>
      <c r="B83" s="8">
        <f>'4230-400Kv'!B20</f>
        <v>0.24</v>
      </c>
      <c r="D83" s="56">
        <f>'4230-400Kv'!D21</f>
        <v>16.420000000000002</v>
      </c>
      <c r="E83" s="36">
        <f>'4230-400Kv'!E21</f>
        <v>7.0523320130156968</v>
      </c>
      <c r="F83" s="36">
        <f>'4230-400Kv'!F21</f>
        <v>115.79929165371776</v>
      </c>
      <c r="G83" s="36">
        <f>'4230-400Kv'!G21</f>
        <v>95.026334626358576</v>
      </c>
      <c r="H83" s="36">
        <f>'4230-400Kv'!H21</f>
        <v>82.061239986270451</v>
      </c>
      <c r="I83" s="36">
        <f>'4230-400Kv'!I21</f>
        <v>5890.9761267504937</v>
      </c>
      <c r="J83" s="36">
        <f>'4230-400Kv'!J21</f>
        <v>95.026334626358832</v>
      </c>
      <c r="K83" s="65">
        <f>'4230-400Kv'!K21</f>
        <v>1007.167690783231</v>
      </c>
      <c r="L83" s="36">
        <f>'4230-400Kv'!L21</f>
        <v>8.6975289433982965</v>
      </c>
      <c r="M83" s="36">
        <f>'4230-400Kv'!M21</f>
        <v>122.88422549092535</v>
      </c>
      <c r="N83" s="36">
        <f>'4230-400Kv'!N21</f>
        <v>110.39190331051529</v>
      </c>
      <c r="O83" s="36">
        <f>'4230-400Kv'!O21</f>
        <v>11.060171281789366</v>
      </c>
      <c r="P83" s="97">
        <f>'4230-400Kv'!P21</f>
        <v>17.374542453606185</v>
      </c>
      <c r="Q83">
        <f t="shared" si="22"/>
        <v>0.87368842779838085</v>
      </c>
      <c r="R83" s="2">
        <f t="shared" ref="R83:R84" si="23">(F83-F84)/(K83-K84)</f>
        <v>0.15393654095587955</v>
      </c>
      <c r="T83" s="89" t="s">
        <v>200</v>
      </c>
      <c r="U83">
        <f>AC83</f>
        <v>1105</v>
      </c>
      <c r="V83">
        <v>22.2</v>
      </c>
      <c r="W83" t="s">
        <v>264</v>
      </c>
      <c r="AB83" s="105" t="s">
        <v>54</v>
      </c>
      <c r="AC83" s="9">
        <v>1105</v>
      </c>
      <c r="AD83" s="67" t="s">
        <v>130</v>
      </c>
    </row>
    <row r="84" spans="1:30">
      <c r="D84" s="56">
        <f>'4230-400Kv'!D24</f>
        <v>13.58</v>
      </c>
      <c r="E84" s="36">
        <f>'4230-400Kv'!E24</f>
        <v>5.1354436699316457</v>
      </c>
      <c r="F84" s="36">
        <f>'4230-400Kv'!F24</f>
        <v>69.739325037671748</v>
      </c>
      <c r="G84" s="36">
        <f>'4230-400Kv'!G24</f>
        <v>56.00136132125207</v>
      </c>
      <c r="H84" s="36">
        <f>'4230-400Kv'!H24</f>
        <v>80.300979814475255</v>
      </c>
      <c r="I84" s="36">
        <f>'4230-400Kv'!I24</f>
        <v>4938.9974076865619</v>
      </c>
      <c r="J84" s="36">
        <f>'4230-400Kv'!J24</f>
        <v>56.001361321252332</v>
      </c>
      <c r="K84" s="66">
        <f>'4230-400Kv'!K24</f>
        <v>707.95370084923957</v>
      </c>
      <c r="L84" s="36">
        <f>'4230-400Kv'!L24</f>
        <v>10.151427483228689</v>
      </c>
      <c r="M84" s="36">
        <f>'4230-400Kv'!M24</f>
        <v>72.418703083289074</v>
      </c>
      <c r="N84" s="36">
        <f>'4230-400Kv'!N24</f>
        <v>65.05666969625598</v>
      </c>
      <c r="O84" s="36">
        <f>'4230-400Kv'!O24</f>
        <v>15.188561108496826</v>
      </c>
      <c r="P84" s="97">
        <f>'4230-400Kv'!P24</f>
        <v>17.581203661782361</v>
      </c>
      <c r="Q84">
        <f t="shared" si="22"/>
        <v>1.0197361544238772</v>
      </c>
      <c r="R84" s="2">
        <f t="shared" si="23"/>
        <v>0.1231770682149784</v>
      </c>
      <c r="T84" s="2" t="s">
        <v>51</v>
      </c>
      <c r="U84" s="2">
        <f>1174/4+$U83/4+$U82</f>
        <v>707.75</v>
      </c>
      <c r="V84" s="2">
        <f>2374/4+$U83/4+$U82</f>
        <v>1007.75</v>
      </c>
      <c r="W84">
        <f>V81*1.63/4</f>
        <v>1642.6324999999999</v>
      </c>
      <c r="X84" t="s">
        <v>130</v>
      </c>
      <c r="AC84">
        <v>8000</v>
      </c>
      <c r="AD84" t="s">
        <v>240</v>
      </c>
    </row>
    <row r="85" spans="1:30">
      <c r="D85" s="60">
        <f>'4230-400Kv'!D25</f>
        <v>10</v>
      </c>
      <c r="E85" s="61">
        <f>'4230-400Kv'!E25</f>
        <v>3.1429664800401151</v>
      </c>
      <c r="F85" s="61">
        <f>'4230-400Kv'!F25</f>
        <v>31.429664800401152</v>
      </c>
      <c r="G85" s="61">
        <f>'4230-400Kv'!G25</f>
        <v>23.511474782809547</v>
      </c>
      <c r="H85" s="61">
        <f>'4230-400Kv'!H25</f>
        <v>74.806635489505624</v>
      </c>
      <c r="I85" s="61">
        <f>'4230-400Kv'!I25</f>
        <v>3698.2752179161489</v>
      </c>
      <c r="J85" s="62">
        <f>'4230-400Kv'!J25</f>
        <v>23.511474782809973</v>
      </c>
      <c r="K85" s="36">
        <f>'4230-400Kv'!K25</f>
        <v>396.94077618367169</v>
      </c>
      <c r="L85" s="36">
        <f>'4230-400Kv'!L25</f>
        <v>12.629494418871605</v>
      </c>
      <c r="M85" s="36">
        <f>'4230-400Kv'!M25</f>
        <v>30.404091457333859</v>
      </c>
      <c r="N85" s="36">
        <f>'4230-400Kv'!N25</f>
        <v>27.313233338073339</v>
      </c>
      <c r="O85" s="36">
        <f>'4230-400Kv'!O25</f>
        <v>24.817318445917518</v>
      </c>
      <c r="P85" s="97">
        <f>'4230-400Kv'!P25</f>
        <v>17.838243925775465</v>
      </c>
      <c r="Q85">
        <f t="shared" si="22"/>
        <v>1.2686641452441161</v>
      </c>
    </row>
    <row r="86" spans="1:30"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88"/>
      <c r="Q86" s="9"/>
      <c r="R86" s="9"/>
    </row>
    <row r="87" spans="1:30"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88"/>
      <c r="Q87" s="9"/>
      <c r="R87" s="9"/>
    </row>
    <row r="89" spans="1:30">
      <c r="O89" s="186" t="s">
        <v>313</v>
      </c>
      <c r="P89" s="186"/>
    </row>
    <row r="90" spans="1:30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114">
        <f>AC97/4000</f>
        <v>2</v>
      </c>
      <c r="P90" s="89" t="s">
        <v>394</v>
      </c>
    </row>
    <row r="91" spans="1:30" ht="16">
      <c r="D91" s="82" t="s">
        <v>239</v>
      </c>
      <c r="E91" s="83"/>
      <c r="F91" s="83"/>
      <c r="G91" s="83"/>
      <c r="H91" s="83"/>
      <c r="I91" s="83"/>
      <c r="J91" s="84"/>
      <c r="K91" s="2"/>
      <c r="M91" s="2" t="s">
        <v>113</v>
      </c>
      <c r="N91" s="2" t="s">
        <v>113</v>
      </c>
      <c r="O91" s="89" t="s">
        <v>116</v>
      </c>
    </row>
    <row r="92" spans="1:30">
      <c r="A92" s="10" t="s">
        <v>63</v>
      </c>
      <c r="B92" s="5">
        <f>'4822-390Kv'!B14</f>
        <v>0.25</v>
      </c>
      <c r="D92" s="11" t="s">
        <v>425</v>
      </c>
      <c r="E92" s="12" t="s">
        <v>426</v>
      </c>
      <c r="F92" s="12" t="s">
        <v>427</v>
      </c>
      <c r="G92" s="12" t="s">
        <v>302</v>
      </c>
      <c r="H92" s="12" t="s">
        <v>48</v>
      </c>
      <c r="I92" s="12" t="s">
        <v>43</v>
      </c>
      <c r="J92" s="13" t="s">
        <v>303</v>
      </c>
      <c r="K92" s="9" t="s">
        <v>428</v>
      </c>
      <c r="L92" s="9" t="s">
        <v>112</v>
      </c>
      <c r="M92" s="9" t="s">
        <v>123</v>
      </c>
      <c r="N92" s="9" t="s">
        <v>252</v>
      </c>
      <c r="O92" s="105" t="s">
        <v>118</v>
      </c>
      <c r="P92" s="67" t="s">
        <v>383</v>
      </c>
      <c r="Q92" t="s">
        <v>320</v>
      </c>
      <c r="R92">
        <v>4</v>
      </c>
    </row>
    <row r="93" spans="1:30">
      <c r="A93" s="5" t="s">
        <v>383</v>
      </c>
      <c r="B93" s="5">
        <f>'4822-390Kv'!B17</f>
        <v>15</v>
      </c>
      <c r="D93" s="35">
        <f>'4822-390Kv'!D13</f>
        <v>20.399999999999999</v>
      </c>
      <c r="E93" s="36">
        <f>'4822-390Kv'!E13</f>
        <v>9.9079654790204454</v>
      </c>
      <c r="F93" s="36">
        <f>'4822-390Kv'!F13</f>
        <v>202.12249577201706</v>
      </c>
      <c r="G93" s="36">
        <f>'4822-390Kv'!G13</f>
        <v>180.7550617161871</v>
      </c>
      <c r="H93" s="36">
        <f>'4822-390Kv'!H13</f>
        <v>89.428473078062893</v>
      </c>
      <c r="I93" s="36">
        <f>'4822-390Kv'!I13</f>
        <v>7299.1018887409437</v>
      </c>
      <c r="J93" s="37">
        <f>'4822-390Kv'!J13</f>
        <v>180.75506171618639</v>
      </c>
      <c r="K93" s="36">
        <f>'4822-390Kv'!K13</f>
        <v>1546.2015775822542</v>
      </c>
      <c r="L93" s="36">
        <f>'4822-390Kv'!L13</f>
        <v>7.6498242893571016</v>
      </c>
      <c r="M93" s="36">
        <f>'4822-390Kv'!M13</f>
        <v>233.7451596959389</v>
      </c>
      <c r="N93" s="36">
        <f>'4822-390Kv'!N13</f>
        <v>209.9827944992058</v>
      </c>
      <c r="O93" s="36">
        <f>'4822-390Kv'!O13</f>
        <v>7.8724537509906121</v>
      </c>
      <c r="P93" s="32">
        <f>'4822-390Kv'!P13</f>
        <v>9.8895536177001535</v>
      </c>
      <c r="Q93">
        <f t="shared" ref="Q93:Q98" si="24">L93*5*V$96/U$96</f>
        <v>0.76844388789017037</v>
      </c>
      <c r="R93" t="s">
        <v>166</v>
      </c>
      <c r="T93" s="2"/>
      <c r="U93" s="2" t="s">
        <v>197</v>
      </c>
      <c r="V93" s="2" t="s">
        <v>198</v>
      </c>
    </row>
    <row r="94" spans="1:30" ht="17">
      <c r="A94" s="5" t="s">
        <v>17</v>
      </c>
      <c r="B94" s="5">
        <f>'4822-390Kv'!B18</f>
        <v>300</v>
      </c>
      <c r="D94" s="56">
        <f>'4822-390Kv'!D14</f>
        <v>20.3</v>
      </c>
      <c r="E94" s="36">
        <f>'4822-390Kv'!E14</f>
        <v>9.8203331003566472</v>
      </c>
      <c r="F94" s="36">
        <f>'4822-390Kv'!F14</f>
        <v>199.35276193723993</v>
      </c>
      <c r="G94" s="36">
        <f>'4822-390Kv'!G14</f>
        <v>178.30050591967185</v>
      </c>
      <c r="H94" s="36">
        <f>'4822-390Kv'!H14</f>
        <v>89.43969684042014</v>
      </c>
      <c r="I94" s="36">
        <f>'4822-390Kv'!I14</f>
        <v>7265.9119154463551</v>
      </c>
      <c r="J94" s="36">
        <f>'4822-390Kv'!J14</f>
        <v>178.30050591967543</v>
      </c>
      <c r="K94" s="63">
        <f>'4822-390Kv'!K14</f>
        <v>1532.1719848661451</v>
      </c>
      <c r="L94" s="36">
        <f>'4822-390Kv'!L14</f>
        <v>7.6857324171335142</v>
      </c>
      <c r="M94" s="36">
        <f>'4822-390Kv'!M14</f>
        <v>230.57102708139053</v>
      </c>
      <c r="N94" s="36">
        <f>'4822-390Kv'!N14</f>
        <v>207.13134192846195</v>
      </c>
      <c r="O94" s="36">
        <f>'4822-390Kv'!O14</f>
        <v>7.9427041020805351</v>
      </c>
      <c r="P94" s="97">
        <f>'4822-390Kv'!P14</f>
        <v>9.8970809542528126</v>
      </c>
      <c r="Q94">
        <f t="shared" si="24"/>
        <v>0.77205094868942981</v>
      </c>
      <c r="R94" s="2">
        <f>(F94-F96)/(K94-K96)</f>
        <v>0.1761236561420722</v>
      </c>
      <c r="T94" s="2" t="s">
        <v>196</v>
      </c>
      <c r="U94">
        <f>1174+U96+(4*U95)</f>
        <v>2671</v>
      </c>
      <c r="V94" s="2">
        <f>2374+U96+(4*U95)</f>
        <v>3871</v>
      </c>
    </row>
    <row r="95" spans="1:30">
      <c r="A95" s="5" t="s">
        <v>157</v>
      </c>
      <c r="B95" s="5">
        <f>'4822-390Kv'!B19</f>
        <v>390</v>
      </c>
      <c r="D95" s="56">
        <f>'4822-390Kv'!D15</f>
        <v>20.3</v>
      </c>
      <c r="E95" s="36">
        <f>'4822-390Kv'!E15</f>
        <v>9.8203331003566472</v>
      </c>
      <c r="F95" s="36">
        <f>'4822-390Kv'!F15</f>
        <v>199.35276193723993</v>
      </c>
      <c r="G95" s="36">
        <f>'4822-390Kv'!G15</f>
        <v>178.30050591967185</v>
      </c>
      <c r="H95" s="36">
        <f>'4822-390Kv'!H15</f>
        <v>89.43969684042014</v>
      </c>
      <c r="I95" s="36">
        <f>'4822-390Kv'!I15</f>
        <v>7265.9119154463551</v>
      </c>
      <c r="J95" s="36">
        <f>'4822-390Kv'!J15</f>
        <v>178.30050591967543</v>
      </c>
      <c r="K95" s="65">
        <f>'4822-390Kv'!K15</f>
        <v>1532.1719848661451</v>
      </c>
      <c r="L95" s="36">
        <f>'4822-390Kv'!L15</f>
        <v>7.6857324171335142</v>
      </c>
      <c r="M95" s="36">
        <f>'4822-390Kv'!M15</f>
        <v>230.57102708139053</v>
      </c>
      <c r="N95" s="36">
        <f>'4822-390Kv'!N15</f>
        <v>207.13134192846195</v>
      </c>
      <c r="O95" s="36">
        <f>'4822-390Kv'!O15</f>
        <v>7.9427041020805351</v>
      </c>
      <c r="P95" s="97">
        <f>'4822-390Kv'!P15</f>
        <v>9.8970809542528126</v>
      </c>
      <c r="Q95">
        <f t="shared" si="24"/>
        <v>0.77205094868942981</v>
      </c>
      <c r="R95" s="2">
        <f>(F95-F97)/(K95-K97)</f>
        <v>0.16387025822448767</v>
      </c>
      <c r="T95" s="2" t="s">
        <v>50</v>
      </c>
      <c r="U95" s="2">
        <v>98</v>
      </c>
      <c r="V95" s="2"/>
    </row>
    <row r="96" spans="1:30">
      <c r="A96" s="5" t="s">
        <v>158</v>
      </c>
      <c r="B96" s="5">
        <f>'4822-390Kv'!B20</f>
        <v>0.17</v>
      </c>
      <c r="D96" s="56">
        <f>'4822-390Kv'!D21</f>
        <v>15.875</v>
      </c>
      <c r="E96" s="36">
        <f>'4822-390Kv'!E21</f>
        <v>6.2936279158712631</v>
      </c>
      <c r="F96" s="36">
        <f>'4822-390Kv'!F21</f>
        <v>99.911343164456298</v>
      </c>
      <c r="G96" s="36">
        <f>'4822-390Kv'!G21</f>
        <v>89.476414452497039</v>
      </c>
      <c r="H96" s="36">
        <f>'4822-390Kv'!H21</f>
        <v>89.555811801285529</v>
      </c>
      <c r="I96" s="36">
        <f>'4822-390Kv'!I21</f>
        <v>5773.9824691777349</v>
      </c>
      <c r="J96" s="36">
        <f>'4822-390Kv'!J21</f>
        <v>89.476414452496343</v>
      </c>
      <c r="K96" s="65">
        <f>'4822-390Kv'!K21</f>
        <v>967.56061492860499</v>
      </c>
      <c r="L96" s="36">
        <f>'4822-390Kv'!L21</f>
        <v>9.6841918473258701</v>
      </c>
      <c r="M96" s="36">
        <f>'4822-390Kv'!M21</f>
        <v>115.70729243565017</v>
      </c>
      <c r="N96" s="36">
        <f>'4822-390Kv'!N21</f>
        <v>103.94457211939765</v>
      </c>
      <c r="O96" s="36">
        <f>'4822-390Kv'!O21</f>
        <v>12.393487673985254</v>
      </c>
      <c r="P96" s="97">
        <f>'4822-390Kv'!P21</f>
        <v>10.224550441363567</v>
      </c>
      <c r="Q96" s="2">
        <f t="shared" si="24"/>
        <v>0.97280117199382043</v>
      </c>
      <c r="R96" s="2">
        <f t="shared" ref="R96:R97" si="25">(F96-F97)/(K96-K97)</f>
        <v>0.14080040916030498</v>
      </c>
      <c r="T96" s="89" t="s">
        <v>200</v>
      </c>
      <c r="U96">
        <f>AC96</f>
        <v>1105</v>
      </c>
      <c r="V96">
        <v>22.2</v>
      </c>
      <c r="W96" t="s">
        <v>264</v>
      </c>
      <c r="AB96" s="105" t="s">
        <v>54</v>
      </c>
      <c r="AC96" s="9">
        <v>1105</v>
      </c>
      <c r="AD96" s="67" t="s">
        <v>130</v>
      </c>
    </row>
    <row r="97" spans="1:30">
      <c r="D97" s="56">
        <f>'4822-390Kv'!D24</f>
        <v>13.05</v>
      </c>
      <c r="E97" s="36">
        <f>'4822-390Kv'!E24</f>
        <v>4.4204417565995877</v>
      </c>
      <c r="F97" s="36">
        <f>'4822-390Kv'!F24</f>
        <v>57.686764923624622</v>
      </c>
      <c r="G97" s="36">
        <f>'4822-390Kv'!G24</f>
        <v>51.290281793286937</v>
      </c>
      <c r="H97" s="36">
        <f>'4822-390Kv'!H24</f>
        <v>88.911697269197859</v>
      </c>
      <c r="I97" s="36">
        <f>'4822-390Kv'!I24</f>
        <v>4796.4247115374474</v>
      </c>
      <c r="J97" s="36">
        <f>'4822-390Kv'!J24</f>
        <v>51.290281793287853</v>
      </c>
      <c r="K97" s="66">
        <f>'4822-390Kv'!K24</f>
        <v>667.67101593775351</v>
      </c>
      <c r="L97" s="36">
        <f>'4822-390Kv'!L24</f>
        <v>11.574076251662369</v>
      </c>
      <c r="M97" s="36">
        <f>'4822-390Kv'!M24</f>
        <v>66.326524938184875</v>
      </c>
      <c r="N97" s="36">
        <f>'4822-390Kv'!N24</f>
        <v>59.583818009572632</v>
      </c>
      <c r="O97" s="36">
        <f>'4822-390Kv'!O24</f>
        <v>17.645295265693374</v>
      </c>
      <c r="P97" s="97">
        <f>'4822-390Kv'!P24</f>
        <v>10.428170913963958</v>
      </c>
      <c r="Q97">
        <f t="shared" si="24"/>
        <v>1.1626447637416497</v>
      </c>
      <c r="R97" s="2">
        <f t="shared" si="25"/>
        <v>0.11302889171996953</v>
      </c>
      <c r="T97" s="2" t="s">
        <v>51</v>
      </c>
      <c r="U97" s="2">
        <f>1174/4+$U96/4+$U95</f>
        <v>667.75</v>
      </c>
      <c r="V97" s="2">
        <f>2374/4+$U96/4+$U95</f>
        <v>967.75</v>
      </c>
      <c r="W97">
        <f>V94*1.63/4</f>
        <v>1577.4324999999999</v>
      </c>
      <c r="X97" t="s">
        <v>130</v>
      </c>
      <c r="AC97">
        <v>8000</v>
      </c>
      <c r="AD97" t="s">
        <v>240</v>
      </c>
    </row>
    <row r="98" spans="1:30">
      <c r="D98" s="60">
        <f>'4822-390Kv'!D25</f>
        <v>10</v>
      </c>
      <c r="E98" s="61">
        <f>'4822-390Kv'!E25</f>
        <v>2.755023583670174</v>
      </c>
      <c r="F98" s="61">
        <f>'4822-390Kv'!F25</f>
        <v>27.550235836701738</v>
      </c>
      <c r="G98" s="61">
        <f>'4822-390Kv'!G25</f>
        <v>23.876997998089319</v>
      </c>
      <c r="H98" s="61">
        <f>'4822-390Kv'!H25</f>
        <v>86.667127423573547</v>
      </c>
      <c r="I98" s="61">
        <f>'4822-390Kv'!I25</f>
        <v>3717.3419364026672</v>
      </c>
      <c r="J98" s="62">
        <f>'4822-390Kv'!J25</f>
        <v>23.87699799808901</v>
      </c>
      <c r="K98" s="36">
        <f>'4822-390Kv'!K25</f>
        <v>401.04423911695176</v>
      </c>
      <c r="L98" s="36">
        <f>'4822-390Kv'!L25</f>
        <v>14.556835066460325</v>
      </c>
      <c r="M98" s="36">
        <f>'4822-390Kv'!M25</f>
        <v>30.876771345336806</v>
      </c>
      <c r="N98" s="36">
        <f>'4822-390Kv'!N25</f>
        <v>27.737860927861902</v>
      </c>
      <c r="O98" s="36">
        <f>'4822-390Kv'!O25</f>
        <v>28.311917350663961</v>
      </c>
      <c r="P98" s="97">
        <f>'4822-390Kv'!P25</f>
        <v>10.643584743205713</v>
      </c>
      <c r="Q98">
        <f t="shared" si="24"/>
        <v>1.4622703098435259</v>
      </c>
    </row>
    <row r="102" spans="1:30">
      <c r="O102" s="186" t="s">
        <v>313</v>
      </c>
      <c r="P102" s="186"/>
    </row>
    <row r="103" spans="1:30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14">
        <f>AC110/4000</f>
        <v>2</v>
      </c>
      <c r="P103" s="89" t="s">
        <v>394</v>
      </c>
    </row>
    <row r="104" spans="1:30" ht="16">
      <c r="D104" s="82" t="s">
        <v>220</v>
      </c>
      <c r="E104" s="83"/>
      <c r="F104" s="83"/>
      <c r="G104" s="83"/>
      <c r="H104" s="83"/>
      <c r="I104" s="83"/>
      <c r="J104" s="84"/>
      <c r="K104" s="2"/>
      <c r="M104" s="2" t="s">
        <v>113</v>
      </c>
      <c r="N104" s="2" t="s">
        <v>113</v>
      </c>
      <c r="O104" s="89" t="s">
        <v>116</v>
      </c>
    </row>
    <row r="105" spans="1:30">
      <c r="A105" s="94" t="s">
        <v>63</v>
      </c>
      <c r="B105" s="5">
        <f>'4010-485KV'!B14</f>
        <v>0.8</v>
      </c>
      <c r="D105" s="11" t="s">
        <v>425</v>
      </c>
      <c r="E105" s="12" t="s">
        <v>426</v>
      </c>
      <c r="F105" s="12" t="s">
        <v>262</v>
      </c>
      <c r="G105" s="12" t="s">
        <v>127</v>
      </c>
      <c r="H105" s="12" t="s">
        <v>128</v>
      </c>
      <c r="I105" s="12" t="s">
        <v>129</v>
      </c>
      <c r="J105" s="13" t="s">
        <v>24</v>
      </c>
      <c r="K105" s="2" t="s">
        <v>25</v>
      </c>
      <c r="L105" s="9" t="s">
        <v>26</v>
      </c>
      <c r="M105" s="9" t="s">
        <v>133</v>
      </c>
      <c r="N105" s="9" t="s">
        <v>268</v>
      </c>
      <c r="O105" s="89" t="s">
        <v>118</v>
      </c>
      <c r="P105" t="s">
        <v>269</v>
      </c>
      <c r="Q105" t="s">
        <v>320</v>
      </c>
      <c r="R105" s="8">
        <v>7</v>
      </c>
    </row>
    <row r="106" spans="1:30">
      <c r="A106" s="5" t="s">
        <v>137</v>
      </c>
      <c r="B106" s="5">
        <f>'4010-485KV'!B17</f>
        <v>26</v>
      </c>
      <c r="D106" s="35">
        <f>'4010-485KV'!D13</f>
        <v>18.399999999999999</v>
      </c>
      <c r="E106" s="36">
        <f>'4010-485KV'!E13</f>
        <v>16.171099639256067</v>
      </c>
      <c r="F106" s="36">
        <f>'4010-485KV'!F13</f>
        <v>297.54823336231158</v>
      </c>
      <c r="G106" s="36">
        <f>'4010-485KV'!G13</f>
        <v>261.69998873664747</v>
      </c>
      <c r="H106" s="36">
        <f>'4010-485KV'!H13</f>
        <v>87.952123183331679</v>
      </c>
      <c r="I106" s="36">
        <f>'4010-485KV'!I13</f>
        <v>8257.3464173716693</v>
      </c>
      <c r="J106" s="37">
        <f>'4010-485KV'!J13</f>
        <v>261.69998873664491</v>
      </c>
      <c r="K106" s="36">
        <f>'4010-485KV'!K13</f>
        <v>1978.8290142105279</v>
      </c>
      <c r="L106" s="36">
        <f>'4010-485KV'!L13</f>
        <v>6.6504478680637762</v>
      </c>
      <c r="M106" s="36">
        <f>'4010-485KV'!M13</f>
        <v>338.41987648302018</v>
      </c>
      <c r="N106" s="36">
        <f>'4010-485KV'!N13</f>
        <v>304.01635469337702</v>
      </c>
      <c r="O106" s="36">
        <f>'4010-485KV'!O13</f>
        <v>4.8234196647117002</v>
      </c>
      <c r="P106" s="32">
        <f>'4010-485KV'!P13</f>
        <v>16.055071605340096</v>
      </c>
      <c r="Q106">
        <f t="shared" ref="Q106:Q111" si="26">L106*5*V$109/U$109</f>
        <v>0.66576453224664423</v>
      </c>
      <c r="R106" t="s">
        <v>166</v>
      </c>
      <c r="T106" s="2"/>
      <c r="U106" s="2" t="s">
        <v>197</v>
      </c>
      <c r="V106" s="2" t="s">
        <v>198</v>
      </c>
    </row>
    <row r="107" spans="1:30" ht="17">
      <c r="A107" s="5" t="s">
        <v>138</v>
      </c>
      <c r="B107" s="5">
        <f>'4010-485KV'!B18</f>
        <v>500</v>
      </c>
      <c r="D107" s="56">
        <f>'4010-485KV'!D14</f>
        <v>18.3</v>
      </c>
      <c r="E107" s="36">
        <f>'4010-485KV'!E14</f>
        <v>16.014905276894591</v>
      </c>
      <c r="F107" s="36">
        <f>'4010-485KV'!F14</f>
        <v>293.07276656717102</v>
      </c>
      <c r="G107" s="36">
        <f>'4010-485KV'!G14</f>
        <v>257.72121888862779</v>
      </c>
      <c r="H107" s="36">
        <f>'4010-485KV'!H14</f>
        <v>87.937621058202012</v>
      </c>
      <c r="I107" s="36">
        <f>'4010-485KV'!I14</f>
        <v>8215.2855299600196</v>
      </c>
      <c r="J107" s="36">
        <f>'4010-485KV'!J14</f>
        <v>257.72121888862551</v>
      </c>
      <c r="K107" s="63">
        <f>'4010-485KV'!K14</f>
        <v>1958.7210230224666</v>
      </c>
      <c r="L107" s="36">
        <f>'4010-485KV'!L14</f>
        <v>6.6833948645772114</v>
      </c>
      <c r="M107" s="36">
        <f>'4010-485KV'!M14</f>
        <v>333.27469169710821</v>
      </c>
      <c r="N107" s="36">
        <f>'4010-485KV'!N14</f>
        <v>299.39422570056291</v>
      </c>
      <c r="O107" s="36">
        <f>'4010-485KV'!O14</f>
        <v>4.8704627752331469</v>
      </c>
      <c r="P107" s="97">
        <f>'4010-485KV'!P14</f>
        <v>16.085102595740775</v>
      </c>
      <c r="Q107">
        <f t="shared" si="26"/>
        <v>0.66906279759025111</v>
      </c>
      <c r="R107" s="2">
        <f>(F107-F109)/(K107-K109)</f>
        <v>0.18789152664930087</v>
      </c>
      <c r="T107" s="2" t="s">
        <v>196</v>
      </c>
      <c r="U107">
        <f>1174+U109+(4*U108)</f>
        <v>2450</v>
      </c>
      <c r="V107" s="2">
        <f>2374+U109+(4*U108)</f>
        <v>3650</v>
      </c>
    </row>
    <row r="108" spans="1:30">
      <c r="A108" s="5" t="s">
        <v>139</v>
      </c>
      <c r="B108" s="5">
        <f>'4010-485KV'!B19</f>
        <v>485</v>
      </c>
      <c r="D108" s="56">
        <f>'4010-485KV'!D15</f>
        <v>15.81</v>
      </c>
      <c r="E108" s="36">
        <f>'4010-485KV'!E15</f>
        <v>12.35264907886158</v>
      </c>
      <c r="F108" s="36">
        <f>'4010-485KV'!F15</f>
        <v>195.29538193680159</v>
      </c>
      <c r="G108" s="36">
        <f>'4010-485KV'!G15</f>
        <v>170.51738723659668</v>
      </c>
      <c r="H108" s="36">
        <f>'4010-485KV'!H15</f>
        <v>87.312554728906406</v>
      </c>
      <c r="I108" s="36">
        <f>'4010-485KV'!I15</f>
        <v>7158.6120417239317</v>
      </c>
      <c r="J108" s="36">
        <f>'4010-485KV'!J15</f>
        <v>170.51738723659605</v>
      </c>
      <c r="K108" s="65">
        <f>'4010-485KV'!K15</f>
        <v>1487.253204049257</v>
      </c>
      <c r="L108" s="36">
        <f>'4010-485KV'!L15</f>
        <v>7.6154038528701022</v>
      </c>
      <c r="M108" s="36">
        <f>'4010-485KV'!M15</f>
        <v>220.5062117327318</v>
      </c>
      <c r="N108" s="36">
        <f>'4010-485KV'!N15</f>
        <v>198.08970848553162</v>
      </c>
      <c r="O108" s="36">
        <f>'4010-485KV'!O15</f>
        <v>6.3144350253968744</v>
      </c>
      <c r="P108" s="97">
        <f>'4010-485KV'!P15</f>
        <v>16.815167911311811</v>
      </c>
      <c r="Q108">
        <f t="shared" si="26"/>
        <v>0.76236456319316503</v>
      </c>
      <c r="R108" s="2">
        <f>(F108-F110)/(K108-K110)</f>
        <v>0.16007711499166413</v>
      </c>
      <c r="T108" s="2" t="s">
        <v>50</v>
      </c>
      <c r="U108" s="2">
        <v>88</v>
      </c>
      <c r="V108" s="2"/>
    </row>
    <row r="109" spans="1:30">
      <c r="A109" s="5" t="s">
        <v>140</v>
      </c>
      <c r="B109" s="8">
        <f>'4010-485KV'!B20</f>
        <v>8.5000000000000006E-2</v>
      </c>
      <c r="D109" s="56">
        <f>'4010-485KV'!D20</f>
        <v>12.23</v>
      </c>
      <c r="E109" s="36">
        <f>'4010-485KV'!E20</f>
        <v>7.8859797961963638</v>
      </c>
      <c r="F109" s="36">
        <f>'4010-485KV'!F20</f>
        <v>96.445532907481535</v>
      </c>
      <c r="G109" s="36">
        <f>'4010-485KV'!G20</f>
        <v>81.911741959211412</v>
      </c>
      <c r="H109" s="36">
        <f>'4010-485KV'!H20</f>
        <v>84.930571162676742</v>
      </c>
      <c r="I109" s="36">
        <f>'4010-485KV'!I20</f>
        <v>5606.4504829018051</v>
      </c>
      <c r="J109" s="36">
        <f>'4010-485KV'!J20</f>
        <v>81.911741959212335</v>
      </c>
      <c r="K109" s="65">
        <f>'4010-485KV'!K20</f>
        <v>912.22767036216385</v>
      </c>
      <c r="L109" s="36">
        <f>'4010-485KV'!L20</f>
        <v>9.4584750880815545</v>
      </c>
      <c r="M109" s="36">
        <f>'4010-485KV'!M20</f>
        <v>105.92496289421518</v>
      </c>
      <c r="N109" s="36">
        <f>'4010-485KV'!N20</f>
        <v>95.156707179243597</v>
      </c>
      <c r="O109" s="36">
        <f>'4010-485KV'!O20</f>
        <v>9.8909713207256313</v>
      </c>
      <c r="P109" s="97">
        <f>'4010-485KV'!P20</f>
        <v>17.811256565900688</v>
      </c>
      <c r="Q109">
        <f t="shared" si="26"/>
        <v>0.9468711532982077</v>
      </c>
      <c r="R109" s="2">
        <f t="shared" ref="R109:R110" si="27">(F109-F110)/(K109-K110)</f>
        <v>0.13738096754495602</v>
      </c>
      <c r="T109" s="89" t="s">
        <v>200</v>
      </c>
      <c r="U109">
        <f>AC109</f>
        <v>924</v>
      </c>
      <c r="V109">
        <v>18.5</v>
      </c>
      <c r="W109" t="s">
        <v>264</v>
      </c>
      <c r="AB109" s="114" t="s">
        <v>308</v>
      </c>
      <c r="AC109">
        <v>924</v>
      </c>
      <c r="AD109" t="s">
        <v>130</v>
      </c>
    </row>
    <row r="110" spans="1:30">
      <c r="D110" s="56">
        <f>'4010-485KV'!D23</f>
        <v>9.9450000000000003</v>
      </c>
      <c r="E110" s="36">
        <f>'4010-485KV'!E23</f>
        <v>5.5581878924783412</v>
      </c>
      <c r="F110" s="36">
        <f>'4010-485KV'!F23</f>
        <v>55.276178590697107</v>
      </c>
      <c r="G110" s="36">
        <f>'4010-485KV'!G23</f>
        <v>45.072191892297738</v>
      </c>
      <c r="H110" s="36">
        <f>'4010-485KV'!H23</f>
        <v>81.539992527419969</v>
      </c>
      <c r="I110" s="36">
        <f>'4010-485KV'!I23</f>
        <v>4594.1887041325799</v>
      </c>
      <c r="J110" s="36">
        <f>'4010-485KV'!J23</f>
        <v>45.072191892299784</v>
      </c>
      <c r="K110" s="66">
        <f>'4010-485KV'!K23</f>
        <v>612.55476040604253</v>
      </c>
      <c r="L110" s="36">
        <f>'4010-485KV'!L23</f>
        <v>11.081713244720113</v>
      </c>
      <c r="M110" s="36">
        <f>'4010-485KV'!M23</f>
        <v>58.285541725264927</v>
      </c>
      <c r="N110" s="36">
        <f>'4010-485KV'!N23</f>
        <v>52.360275379785001</v>
      </c>
      <c r="O110" s="36">
        <f>'4010-485KV'!O23</f>
        <v>14.033350708700237</v>
      </c>
      <c r="P110" s="97">
        <f>'4010-485KV'!P23</f>
        <v>18.418261224562183</v>
      </c>
      <c r="Q110">
        <f t="shared" si="26"/>
        <v>1.1093706440872408</v>
      </c>
      <c r="R110" s="2">
        <f t="shared" si="27"/>
        <v>0.11331516140963675</v>
      </c>
      <c r="T110" s="2" t="s">
        <v>51</v>
      </c>
      <c r="U110" s="2">
        <f>1174/4+$U109/4+$U108</f>
        <v>612.5</v>
      </c>
      <c r="V110" s="2">
        <f>2374/4+$U109/4+$U108</f>
        <v>912.5</v>
      </c>
      <c r="W110">
        <f>V107*1.63/4</f>
        <v>1487.375</v>
      </c>
      <c r="X110" t="s">
        <v>130</v>
      </c>
      <c r="AC110">
        <v>8000</v>
      </c>
      <c r="AD110" t="s">
        <v>240</v>
      </c>
    </row>
    <row r="111" spans="1:30">
      <c r="D111" s="60">
        <f>'4010-485KV'!D24</f>
        <v>8</v>
      </c>
      <c r="E111" s="61">
        <f>'4010-485KV'!E24</f>
        <v>3.9171863671721963</v>
      </c>
      <c r="F111" s="61">
        <f>'4010-485KV'!F24</f>
        <v>31.33749093737757</v>
      </c>
      <c r="G111" s="61">
        <f>'4010-485KV'!G24</f>
        <v>23.899589942356702</v>
      </c>
      <c r="H111" s="61">
        <f>'4010-485KV'!H24</f>
        <v>76.265167463840044</v>
      </c>
      <c r="I111" s="61">
        <f>'4010-485KV'!I24</f>
        <v>3718.5139920133261</v>
      </c>
      <c r="J111" s="62">
        <f>'4010-485KV'!J24</f>
        <v>23.899589942358592</v>
      </c>
      <c r="K111" s="36">
        <f>'4010-485KV'!K24</f>
        <v>401.29717267000547</v>
      </c>
      <c r="L111" s="36">
        <f>'4010-485KV'!L24</f>
        <v>12.805657398415427</v>
      </c>
      <c r="M111" s="36">
        <f>'4010-485KV'!M24</f>
        <v>30.905986337000083</v>
      </c>
      <c r="N111" s="36">
        <f>'4010-485KV'!N24</f>
        <v>27.764105944437677</v>
      </c>
      <c r="O111" s="36">
        <f>'4010-485KV'!O24</f>
        <v>19.9122514705135</v>
      </c>
      <c r="P111" s="97">
        <f>'4010-485KV'!P24</f>
        <v>18.919276981283645</v>
      </c>
      <c r="Q111">
        <f t="shared" si="26"/>
        <v>1.2819516334993799</v>
      </c>
    </row>
    <row r="115" spans="1:30">
      <c r="O115" s="186" t="s">
        <v>313</v>
      </c>
      <c r="P115" s="186"/>
    </row>
    <row r="116" spans="1:30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114">
        <f>AC123/4000</f>
        <v>1.5</v>
      </c>
      <c r="P116" s="89" t="s">
        <v>394</v>
      </c>
    </row>
    <row r="117" spans="1:30" ht="16">
      <c r="D117" s="82" t="s">
        <v>345</v>
      </c>
      <c r="E117" s="83"/>
      <c r="F117" s="83"/>
      <c r="G117" s="83"/>
      <c r="H117" s="83"/>
      <c r="I117" s="83"/>
      <c r="J117" s="84"/>
      <c r="K117" s="2"/>
      <c r="M117" s="2" t="s">
        <v>113</v>
      </c>
      <c r="N117" s="2" t="s">
        <v>113</v>
      </c>
      <c r="O117" s="89" t="s">
        <v>116</v>
      </c>
    </row>
    <row r="118" spans="1:30">
      <c r="A118" s="94" t="s">
        <v>63</v>
      </c>
      <c r="B118" s="8">
        <f>'AX-4008Q-620Kv'!B14</f>
        <v>0.3</v>
      </c>
      <c r="D118" s="11" t="s">
        <v>425</v>
      </c>
      <c r="E118" s="12" t="s">
        <v>426</v>
      </c>
      <c r="F118" s="12" t="s">
        <v>262</v>
      </c>
      <c r="G118" s="12" t="s">
        <v>127</v>
      </c>
      <c r="H118" s="12" t="s">
        <v>128</v>
      </c>
      <c r="I118" s="12" t="s">
        <v>129</v>
      </c>
      <c r="J118" s="13" t="s">
        <v>24</v>
      </c>
      <c r="K118" s="2" t="s">
        <v>25</v>
      </c>
      <c r="L118" s="9" t="s">
        <v>26</v>
      </c>
      <c r="M118" s="9" t="s">
        <v>133</v>
      </c>
      <c r="N118" s="9" t="s">
        <v>268</v>
      </c>
      <c r="O118" s="89" t="s">
        <v>118</v>
      </c>
      <c r="P118" t="s">
        <v>269</v>
      </c>
      <c r="Q118" t="s">
        <v>320</v>
      </c>
      <c r="R118" s="8">
        <v>8</v>
      </c>
    </row>
    <row r="119" spans="1:30">
      <c r="A119" s="5" t="s">
        <v>137</v>
      </c>
      <c r="B119" s="5">
        <f>'AX-4008Q-620Kv'!B17</f>
        <v>30</v>
      </c>
      <c r="D119" s="35">
        <f>'AX-4008Q-620Kv'!D13</f>
        <v>16.100000000000001</v>
      </c>
      <c r="E119" s="36">
        <f>'AX-4008Q-620Kv'!E13</f>
        <v>21.274145563297751</v>
      </c>
      <c r="F119" s="36">
        <f>'AX-4008Q-620Kv'!F13</f>
        <v>342.51374356909383</v>
      </c>
      <c r="G119" s="36">
        <f>'AX-4008Q-620Kv'!G13</f>
        <v>288.60097073336067</v>
      </c>
      <c r="H119" s="36">
        <f>'AX-4008Q-620Kv'!H13</f>
        <v>84.259676042792847</v>
      </c>
      <c r="I119" s="36">
        <f>'AX-4008Q-620Kv'!I13</f>
        <v>8531.1032725830937</v>
      </c>
      <c r="J119" s="37">
        <f>'AX-4008Q-620Kv'!J13</f>
        <v>288.60097073335987</v>
      </c>
      <c r="K119" s="36">
        <f>'AX-4008Q-620Kv'!K13</f>
        <v>2112.2127438201092</v>
      </c>
      <c r="L119" s="36">
        <f>'AX-4008Q-620Kv'!L13</f>
        <v>6.1667970511496319</v>
      </c>
      <c r="M119" s="36">
        <f>'AX-4008Q-620Kv'!M13</f>
        <v>373.2071420406109</v>
      </c>
      <c r="N119" s="36">
        <f>'AX-4008Q-620Kv'!N13</f>
        <v>335.26717179808657</v>
      </c>
      <c r="O119" s="36">
        <f>'AX-4008Q-620Kv'!O13</f>
        <v>2.7498166648311582</v>
      </c>
      <c r="P119" s="32">
        <f>'AX-4008Q-620Kv'!P13</f>
        <v>21.077901123967152</v>
      </c>
      <c r="Q119">
        <f t="shared" ref="Q119:Q124" si="28">L119*5*V$122/U$122</f>
        <v>0.73249274764859196</v>
      </c>
      <c r="R119" t="s">
        <v>166</v>
      </c>
      <c r="T119" s="2"/>
      <c r="U119" s="2" t="s">
        <v>197</v>
      </c>
      <c r="V119" s="2" t="s">
        <v>198</v>
      </c>
      <c r="W119" s="2"/>
    </row>
    <row r="120" spans="1:30" ht="17">
      <c r="A120" s="5" t="s">
        <v>138</v>
      </c>
      <c r="B120" s="5">
        <f>'AX-4008Q-620Kv'!B18</f>
        <v>800</v>
      </c>
      <c r="D120" s="56">
        <f>'AX-4008Q-620Kv'!D14</f>
        <v>14.8</v>
      </c>
      <c r="E120" s="36">
        <f>'AX-4008Q-620Kv'!E14</f>
        <v>18.386293107565738</v>
      </c>
      <c r="F120" s="36">
        <f>'AX-4008Q-620Kv'!F14</f>
        <v>272.11713799197292</v>
      </c>
      <c r="G120" s="36">
        <f>'AX-4008Q-620Kv'!G14</f>
        <v>231.09775049841744</v>
      </c>
      <c r="H120" s="36">
        <f>'AX-4008Q-620Kv'!H14</f>
        <v>84.925834588644875</v>
      </c>
      <c r="I120" s="36">
        <f>'AX-4008Q-620Kv'!I14</f>
        <v>7922.0548100640162</v>
      </c>
      <c r="J120" s="37">
        <f>'AX-4008Q-620Kv'!J14</f>
        <v>231.09775049841755</v>
      </c>
      <c r="K120" s="116">
        <f>'AX-4008Q-620Kv'!K14</f>
        <v>1821.3899905946764</v>
      </c>
      <c r="L120" s="36">
        <f>'AX-4008Q-620Kv'!L14</f>
        <v>6.6934041862824714</v>
      </c>
      <c r="M120" s="36">
        <f>'AX-4008Q-620Kv'!M14</f>
        <v>298.84629554906456</v>
      </c>
      <c r="N120" s="36">
        <f>'AX-4008Q-620Kv'!N14</f>
        <v>268.46579559875443</v>
      </c>
      <c r="O120" s="36">
        <f>'AX-4008Q-620Kv'!O14</f>
        <v>3.1817180144880837</v>
      </c>
      <c r="P120" s="97">
        <f>'AX-4008Q-620Kv'!P14</f>
        <v>21.16243679348019</v>
      </c>
      <c r="Q120">
        <f t="shared" si="28"/>
        <v>0.79504319387624867</v>
      </c>
      <c r="R120" s="2">
        <f>(F120-F122)/(K120-K122)</f>
        <v>0.19237995859448845</v>
      </c>
      <c r="T120" s="2" t="s">
        <v>196</v>
      </c>
      <c r="U120">
        <f>1174+U122+(4*U121)</f>
        <v>2149</v>
      </c>
      <c r="V120" s="2">
        <f>2374+U122+(4*U121)</f>
        <v>3349</v>
      </c>
    </row>
    <row r="121" spans="1:30">
      <c r="A121" s="5" t="s">
        <v>139</v>
      </c>
      <c r="B121" s="5">
        <f>'AX-4008Q-620Kv'!B19</f>
        <v>620</v>
      </c>
      <c r="D121" s="56">
        <f>'AX-4008Q-620Kv'!D15</f>
        <v>12.585000000000001</v>
      </c>
      <c r="E121" s="36">
        <f>'AX-4008Q-620Kv'!E15</f>
        <v>13.853588819428309</v>
      </c>
      <c r="F121" s="36">
        <f>'AX-4008Q-620Kv'!F15</f>
        <v>174.34741529250527</v>
      </c>
      <c r="G121" s="36">
        <f>'AX-4008Q-620Kv'!G15</f>
        <v>149.91767217398962</v>
      </c>
      <c r="H121" s="36">
        <f>'AX-4008Q-620Kv'!H15</f>
        <v>85.987894872126716</v>
      </c>
      <c r="I121" s="36">
        <f>'AX-4008Q-620Kv'!I15</f>
        <v>6857.8852425149898</v>
      </c>
      <c r="J121" s="37">
        <f>'AX-4008Q-620Kv'!J15</f>
        <v>149.91767217398987</v>
      </c>
      <c r="K121" s="101">
        <f>'AX-4008Q-620Kv'!K15</f>
        <v>1364.9215384005931</v>
      </c>
      <c r="L121" s="36">
        <f>'AX-4008Q-620Kv'!L15</f>
        <v>7.8287454741479463</v>
      </c>
      <c r="M121" s="36">
        <f>'AX-4008Q-620Kv'!M15</f>
        <v>193.86749057448191</v>
      </c>
      <c r="N121" s="36">
        <f>'AX-4008Q-620Kv'!N15</f>
        <v>174.15906060400636</v>
      </c>
      <c r="O121" s="36">
        <f>'AX-4008Q-620Kv'!O15</f>
        <v>4.2227325180865369</v>
      </c>
      <c r="P121" s="97">
        <f>'AX-4008Q-620Kv'!P15</f>
        <v>21.305694483776918</v>
      </c>
      <c r="Q121">
        <f t="shared" si="28"/>
        <v>0.92989914139156993</v>
      </c>
      <c r="R121" s="2">
        <f>(F121-F123)/(K121-K123)</f>
        <v>0.15918687528077416</v>
      </c>
      <c r="T121" s="2" t="s">
        <v>50</v>
      </c>
      <c r="U121" s="2">
        <v>88</v>
      </c>
      <c r="V121" s="2"/>
    </row>
    <row r="122" spans="1:30">
      <c r="A122" s="5" t="s">
        <v>140</v>
      </c>
      <c r="B122" s="8">
        <f>'AX-4008Q-620Kv'!B20</f>
        <v>0.11</v>
      </c>
      <c r="D122" s="56">
        <f>'AX-4008Q-620Kv'!D20</f>
        <v>9.61</v>
      </c>
      <c r="E122" s="36">
        <f>'AX-4008Q-620Kv'!E20</f>
        <v>8.6128892372689432</v>
      </c>
      <c r="F122" s="36">
        <f>'AX-4008Q-620Kv'!F20</f>
        <v>82.769865570154536</v>
      </c>
      <c r="G122" s="36">
        <f>'AX-4008Q-620Kv'!G20</f>
        <v>72.011086203503453</v>
      </c>
      <c r="H122" s="36">
        <f>'AX-4008Q-620Kv'!H20</f>
        <v>87.001574434681061</v>
      </c>
      <c r="I122" s="36">
        <f>'AX-4008Q-620Kv'!I20</f>
        <v>5370.8009540182575</v>
      </c>
      <c r="J122" s="37">
        <f>'AX-4008Q-620Kv'!J20</f>
        <v>72.011086203503709</v>
      </c>
      <c r="K122" s="101">
        <f>'AX-4008Q-620Kv'!K20</f>
        <v>837.15403480607245</v>
      </c>
      <c r="L122" s="36">
        <f>'AX-4008Q-620Kv'!L20</f>
        <v>10.114236975490952</v>
      </c>
      <c r="M122" s="36">
        <f>'AX-4008Q-620Kv'!M20</f>
        <v>93.121833959732939</v>
      </c>
      <c r="N122" s="36">
        <f>'AX-4008Q-620Kv'!N20</f>
        <v>83.655135144582445</v>
      </c>
      <c r="O122" s="36">
        <f>'AX-4008Q-620Kv'!O20</f>
        <v>6.7921458628382103</v>
      </c>
      <c r="P122" s="97">
        <f>'AX-4008Q-620Kv'!P20</f>
        <v>21.49659329856981</v>
      </c>
      <c r="Q122">
        <f t="shared" si="28"/>
        <v>1.2013700420326332</v>
      </c>
      <c r="R122" s="2">
        <f t="shared" ref="R122:R123" si="29">(F122-F123)/(K122-K123)</f>
        <v>0.1339592669997077</v>
      </c>
      <c r="T122" s="89" t="s">
        <v>200</v>
      </c>
      <c r="U122">
        <f>AC122</f>
        <v>623</v>
      </c>
      <c r="V122">
        <v>14.8</v>
      </c>
      <c r="W122" t="s">
        <v>264</v>
      </c>
      <c r="AB122" s="114" t="s">
        <v>59</v>
      </c>
      <c r="AC122">
        <v>623</v>
      </c>
      <c r="AD122" t="s">
        <v>130</v>
      </c>
    </row>
    <row r="123" spans="1:30">
      <c r="D123" s="56">
        <f>'AX-4008Q-620Kv'!D23</f>
        <v>7.56</v>
      </c>
      <c r="E123" s="36">
        <f>'AX-4008Q-620Kv'!E23</f>
        <v>5.6356362356448155</v>
      </c>
      <c r="F123" s="36">
        <f>'AX-4008Q-620Kv'!F23</f>
        <v>42.605409941474804</v>
      </c>
      <c r="G123" s="36">
        <f>'AX-4008Q-620Kv'!G23</f>
        <v>37.029742401394671</v>
      </c>
      <c r="H123" s="36">
        <f>'AX-4008Q-620Kv'!H23</f>
        <v>86.913240483452256</v>
      </c>
      <c r="I123" s="36">
        <f>'AX-4008Q-620Kv'!I23</f>
        <v>4302.8496087290232</v>
      </c>
      <c r="J123" s="37">
        <f>'AX-4008Q-620Kv'!J23</f>
        <v>37.029742401394302</v>
      </c>
      <c r="K123" s="102">
        <f>'AX-4008Q-620Kv'!K23</f>
        <v>537.32815095163653</v>
      </c>
      <c r="L123" s="36">
        <f>'AX-4008Q-620Kv'!L23</f>
        <v>12.611735262957</v>
      </c>
      <c r="M123" s="36">
        <f>'AX-4008Q-620Kv'!M23</f>
        <v>47.885370229376527</v>
      </c>
      <c r="N123" s="36">
        <f>'AX-4008Q-620Kv'!N23</f>
        <v>43.017377854897489</v>
      </c>
      <c r="O123" s="36">
        <f>'AX-4008Q-620Kv'!O23</f>
        <v>10.380371896609217</v>
      </c>
      <c r="P123" s="97">
        <f>'AX-4008Q-620Kv'!P23</f>
        <v>21.627149590796602</v>
      </c>
      <c r="Q123">
        <f t="shared" si="28"/>
        <v>1.4980231291473805</v>
      </c>
      <c r="R123" s="2">
        <f t="shared" si="29"/>
        <v>0.10966471313656587</v>
      </c>
      <c r="T123" s="2" t="s">
        <v>51</v>
      </c>
      <c r="U123" s="2">
        <f>1174/4+$U122/4+$U121</f>
        <v>537.25</v>
      </c>
      <c r="V123" s="2">
        <f>2374/4+$U122/4+$U121</f>
        <v>837.25</v>
      </c>
      <c r="W123">
        <f>V120*1.63/4</f>
        <v>1364.7175</v>
      </c>
      <c r="X123" t="s">
        <v>130</v>
      </c>
      <c r="AC123">
        <v>6000</v>
      </c>
      <c r="AD123" t="s">
        <v>240</v>
      </c>
    </row>
    <row r="124" spans="1:30">
      <c r="D124" s="60">
        <f>'AX-4008Q-620Kv'!D24</f>
        <v>6.5</v>
      </c>
      <c r="E124" s="61">
        <f>'AX-4008Q-620Kv'!E24</f>
        <v>4.3209402216716377</v>
      </c>
      <c r="F124" s="61">
        <f>'AX-4008Q-620Kv'!F24</f>
        <v>28.086111440865643</v>
      </c>
      <c r="G124" s="61">
        <f>'AX-4008Q-620Kv'!G24</f>
        <v>24.224944784262238</v>
      </c>
      <c r="H124" s="61">
        <f>'AX-4008Q-620Kv'!H24</f>
        <v>86.252398575242566</v>
      </c>
      <c r="I124" s="61">
        <f>'AX-4008Q-620Kv'!I24</f>
        <v>3735.3118768819941</v>
      </c>
      <c r="J124" s="62">
        <f>'AX-4008Q-620Kv'!J24</f>
        <v>24.224944784261943</v>
      </c>
      <c r="K124" s="36">
        <f>'AX-4008Q-620Kv'!K24</f>
        <v>404.93097336062579</v>
      </c>
      <c r="L124" s="36">
        <f>'AX-4008Q-620Kv'!L24</f>
        <v>14.417480832588529</v>
      </c>
      <c r="M124" s="36">
        <f>'AX-4008Q-620Kv'!M24</f>
        <v>31.326722103713813</v>
      </c>
      <c r="N124" s="36">
        <f>'AX-4008Q-620Kv'!N24</f>
        <v>28.142070015031635</v>
      </c>
      <c r="O124" s="36">
        <f>'AX-4008Q-620Kv'!O24</f>
        <v>13.538720046760602</v>
      </c>
      <c r="P124" s="97">
        <f>'AX-4008Q-620Kv'!P24</f>
        <v>21.694346442544123</v>
      </c>
      <c r="Q124">
        <f t="shared" si="28"/>
        <v>1.7125097618162943</v>
      </c>
    </row>
    <row r="130" spans="17:30">
      <c r="Q130" t="s">
        <v>396</v>
      </c>
      <c r="R130" s="109" t="s">
        <v>321</v>
      </c>
      <c r="S130" s="70" t="s">
        <v>217</v>
      </c>
      <c r="T130" s="71"/>
      <c r="U130" s="71"/>
      <c r="V130" s="71"/>
      <c r="W130" s="71" t="s">
        <v>218</v>
      </c>
      <c r="X130" s="71" t="s">
        <v>219</v>
      </c>
      <c r="Y130" s="71" t="s">
        <v>339</v>
      </c>
      <c r="Z130" s="71" t="s">
        <v>425</v>
      </c>
      <c r="AA130" s="71" t="s">
        <v>101</v>
      </c>
      <c r="AB130" s="71" t="s">
        <v>395</v>
      </c>
      <c r="AC130" s="71"/>
      <c r="AD130" s="72"/>
    </row>
    <row r="131" spans="17:30">
      <c r="R131" s="110">
        <v>1</v>
      </c>
      <c r="S131" s="73" t="str">
        <f>D26</f>
        <v>Turnigy AX2810Q-750Kv</v>
      </c>
      <c r="T131" s="67"/>
      <c r="U131" s="67"/>
      <c r="V131" s="67"/>
      <c r="W131" s="96">
        <f>U30</f>
        <v>70</v>
      </c>
      <c r="X131" s="67">
        <f>B29</f>
        <v>444</v>
      </c>
      <c r="Y131" s="67">
        <v>100</v>
      </c>
      <c r="Z131" s="67">
        <v>22.2</v>
      </c>
      <c r="AA131" s="67">
        <f t="shared" ref="AA131:AA139" si="30">X131/Z131</f>
        <v>20</v>
      </c>
      <c r="AB131" s="67">
        <f>E29</f>
        <v>11.749134291403511</v>
      </c>
      <c r="AC131" s="97">
        <f>E31</f>
        <v>6.3195020271123017</v>
      </c>
      <c r="AD131" s="106">
        <f>E32</f>
        <v>4.4937394915650151</v>
      </c>
    </row>
    <row r="132" spans="17:30">
      <c r="R132" s="110">
        <v>2</v>
      </c>
      <c r="S132" s="73" t="str">
        <f>D52</f>
        <v>Turnigy Multistar 4225-390Kv 16 Poles Multi-Rotor Outrunner</v>
      </c>
      <c r="T132" s="67"/>
      <c r="U132" s="67"/>
      <c r="V132" s="67"/>
      <c r="W132" s="67">
        <f>U56</f>
        <v>86</v>
      </c>
      <c r="X132" s="67">
        <f>B55</f>
        <v>330</v>
      </c>
      <c r="Y132" s="67">
        <f>D55*100/X12</f>
        <v>96.396396396396398</v>
      </c>
      <c r="Z132" s="67">
        <v>22.2</v>
      </c>
      <c r="AA132" s="67">
        <f t="shared" si="30"/>
        <v>14.864864864864865</v>
      </c>
      <c r="AB132" s="67">
        <f>E55</f>
        <v>10.12281113990414</v>
      </c>
      <c r="AC132" s="67">
        <f>E57</f>
        <v>6.1663168507053516</v>
      </c>
      <c r="AD132" s="74">
        <f>E58</f>
        <v>4.2964009414459126</v>
      </c>
    </row>
    <row r="133" spans="17:30">
      <c r="R133" s="110">
        <v>3</v>
      </c>
      <c r="S133" s="73" t="str">
        <f>D39</f>
        <v>Turnigy Multistar 3508-380Kv 14 Poles Multi-Rotor Outrunner</v>
      </c>
      <c r="T133" s="67"/>
      <c r="U133" s="67"/>
      <c r="V133" s="67"/>
      <c r="W133" s="67">
        <f>U43</f>
        <v>102</v>
      </c>
      <c r="X133" s="67">
        <f>B42</f>
        <v>320</v>
      </c>
      <c r="Y133" s="67">
        <f>D42*100/X12</f>
        <v>92.342342342342349</v>
      </c>
      <c r="Z133" s="67">
        <v>22.2</v>
      </c>
      <c r="AA133" s="67">
        <f t="shared" si="30"/>
        <v>14.414414414414415</v>
      </c>
      <c r="AB133" s="28">
        <f>E42</f>
        <v>9.1839424300289547</v>
      </c>
      <c r="AC133" s="9">
        <f>E44</f>
        <v>6.2139029185646164</v>
      </c>
      <c r="AD133" s="15">
        <f>E45</f>
        <v>4.3892852322241769</v>
      </c>
    </row>
    <row r="134" spans="17:30">
      <c r="R134" s="110">
        <v>4</v>
      </c>
      <c r="S134" s="73" t="str">
        <f>D91</f>
        <v>Turnigy Multistar 4822-390Kv 22 Poles Multi-Rotor Outrunner</v>
      </c>
      <c r="T134" s="67"/>
      <c r="U134" s="67"/>
      <c r="V134" s="67"/>
      <c r="W134" s="67">
        <f>U95</f>
        <v>98</v>
      </c>
      <c r="X134" s="67">
        <f>B94</f>
        <v>300</v>
      </c>
      <c r="Y134" s="67">
        <f>D94*100/X12</f>
        <v>91.441441441441441</v>
      </c>
      <c r="Z134" s="67">
        <v>22.2</v>
      </c>
      <c r="AA134" s="67">
        <f t="shared" si="30"/>
        <v>13.513513513513514</v>
      </c>
      <c r="AB134" s="67">
        <f>E94</f>
        <v>9.8203331003566472</v>
      </c>
      <c r="AC134" s="67">
        <f>E96</f>
        <v>6.2936279158712631</v>
      </c>
      <c r="AD134" s="74">
        <f>E97</f>
        <v>4.4204417565995877</v>
      </c>
    </row>
    <row r="135" spans="17:30">
      <c r="R135" s="110">
        <v>5</v>
      </c>
      <c r="S135" s="73" t="str">
        <f>D65</f>
        <v>Turnigy Multistar 4010-375Kv 22 Poles Multi-Rotor Outrunner</v>
      </c>
      <c r="T135" s="67"/>
      <c r="U135" s="67"/>
      <c r="V135" s="67"/>
      <c r="W135" s="67">
        <f>U69</f>
        <v>128</v>
      </c>
      <c r="X135" s="67">
        <f>B68</f>
        <v>450</v>
      </c>
      <c r="Y135" s="67">
        <v>100</v>
      </c>
      <c r="Z135" s="67">
        <v>22.2</v>
      </c>
      <c r="AA135" s="67">
        <f t="shared" si="30"/>
        <v>20.27027027027027</v>
      </c>
      <c r="AB135" s="67">
        <f>E68</f>
        <v>11.113969789845836</v>
      </c>
      <c r="AC135" s="67">
        <f>E70</f>
        <v>6.5931617371900115</v>
      </c>
      <c r="AD135" s="74">
        <f>E71</f>
        <v>4.7863546427080514</v>
      </c>
    </row>
    <row r="136" spans="17:30">
      <c r="R136" s="110">
        <v>6</v>
      </c>
      <c r="S136" s="73" t="str">
        <f>D78</f>
        <v>Turnigy Multistar 4230-400Kv 16 Poles Multi-Rotor Outrunner</v>
      </c>
      <c r="T136" s="67"/>
      <c r="U136" s="67"/>
      <c r="V136" s="67"/>
      <c r="W136" s="67">
        <f>U82</f>
        <v>138</v>
      </c>
      <c r="X136" s="67">
        <f>B81</f>
        <v>550</v>
      </c>
      <c r="Y136" s="67">
        <v>100</v>
      </c>
      <c r="Z136" s="67">
        <v>22.2</v>
      </c>
      <c r="AA136" s="67">
        <f t="shared" si="30"/>
        <v>24.774774774774777</v>
      </c>
      <c r="AB136" s="67">
        <f>E81</f>
        <v>11.768013391298263</v>
      </c>
      <c r="AC136" s="67">
        <f>E83</f>
        <v>7.0523320130156968</v>
      </c>
      <c r="AD136" s="74">
        <f>E84</f>
        <v>5.1354436699316457</v>
      </c>
    </row>
    <row r="137" spans="17:30">
      <c r="R137" s="110">
        <v>7</v>
      </c>
      <c r="S137" s="73" t="str">
        <f>D104</f>
        <v>Turnigy Multistar 4010-485KV 22 Pole Brushless</v>
      </c>
      <c r="T137" s="67"/>
      <c r="U137" s="67"/>
      <c r="V137" s="67"/>
      <c r="W137" s="67">
        <f>U108</f>
        <v>88</v>
      </c>
      <c r="X137" s="67">
        <f>B107</f>
        <v>500</v>
      </c>
      <c r="Y137" s="67">
        <f>D107/X11*100</f>
        <v>98.918918918918919</v>
      </c>
      <c r="Z137" s="107">
        <v>18.5</v>
      </c>
      <c r="AA137" s="67">
        <f t="shared" si="30"/>
        <v>27.027027027027028</v>
      </c>
      <c r="AB137" s="67">
        <f>E107</f>
        <v>16.014905276894591</v>
      </c>
      <c r="AC137" s="67">
        <f>E109</f>
        <v>7.8859797961963638</v>
      </c>
      <c r="AD137" s="74">
        <f>E110</f>
        <v>5.5581878924783412</v>
      </c>
    </row>
    <row r="138" spans="17:30">
      <c r="R138" s="110">
        <v>8</v>
      </c>
      <c r="S138" s="73" t="str">
        <f>D117</f>
        <v>AX-4008Q-620KV Multi-Rotor Outrunner</v>
      </c>
      <c r="T138" s="67"/>
      <c r="U138" s="67"/>
      <c r="V138" s="67"/>
      <c r="W138" s="67">
        <f>U121</f>
        <v>88</v>
      </c>
      <c r="X138" s="67">
        <f>B120</f>
        <v>800</v>
      </c>
      <c r="Y138" s="67">
        <v>100</v>
      </c>
      <c r="Z138" s="107">
        <v>14.8</v>
      </c>
      <c r="AA138" s="67">
        <f t="shared" si="30"/>
        <v>54.054054054054049</v>
      </c>
      <c r="AB138" s="67">
        <f>E120</f>
        <v>18.386293107565738</v>
      </c>
      <c r="AC138" s="67">
        <f>E122</f>
        <v>8.6128892372689432</v>
      </c>
      <c r="AD138" s="74">
        <f>E123</f>
        <v>5.6356362356448155</v>
      </c>
    </row>
    <row r="139" spans="17:30">
      <c r="R139" s="111">
        <v>9</v>
      </c>
      <c r="S139" s="75" t="str">
        <f>C1</f>
        <v>5017-620KV Turnigy Multi-Rotor</v>
      </c>
      <c r="T139" s="76"/>
      <c r="U139" s="76"/>
      <c r="V139" s="76"/>
      <c r="W139" s="76">
        <f>U16</f>
        <v>125</v>
      </c>
      <c r="X139" s="76">
        <v>290</v>
      </c>
      <c r="Y139" s="76">
        <v>100</v>
      </c>
      <c r="Z139" s="108">
        <v>14.8</v>
      </c>
      <c r="AA139" s="76">
        <f t="shared" si="30"/>
        <v>19.594594594594593</v>
      </c>
      <c r="AB139" s="76">
        <f>E15</f>
        <v>19.232118992410165</v>
      </c>
      <c r="AC139" s="76">
        <f>E16</f>
        <v>15.449110402787667</v>
      </c>
      <c r="AD139" s="77">
        <f>E17</f>
        <v>9.9805944818230152</v>
      </c>
    </row>
  </sheetData>
  <sheetCalcPr fullCalcOnLoad="1"/>
  <mergeCells count="7">
    <mergeCell ref="O115:P115"/>
    <mergeCell ref="O24:P24"/>
    <mergeCell ref="O37:P37"/>
    <mergeCell ref="O63:P63"/>
    <mergeCell ref="O76:P76"/>
    <mergeCell ref="O89:P89"/>
    <mergeCell ref="O102:P102"/>
  </mergeCells>
  <phoneticPr fontId="1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H137"/>
  <sheetViews>
    <sheetView workbookViewId="0">
      <selection activeCell="M74" sqref="M74:Q80"/>
    </sheetView>
  </sheetViews>
  <sheetFormatPr baseColWidth="10" defaultRowHeight="15"/>
  <cols>
    <col min="3" max="3" width="14" customWidth="1"/>
    <col min="8" max="8" width="11.33203125" customWidth="1"/>
    <col min="20" max="20" width="14.5" customWidth="1"/>
    <col min="24" max="24" width="33" bestFit="1" customWidth="1"/>
    <col min="28" max="28" width="11.1640625" customWidth="1"/>
  </cols>
  <sheetData>
    <row r="1" spans="1:34">
      <c r="X1" s="133" t="s">
        <v>311</v>
      </c>
      <c r="Y1" s="71">
        <v>481</v>
      </c>
      <c r="Z1" s="72" t="s">
        <v>130</v>
      </c>
    </row>
    <row r="2" spans="1:34">
      <c r="X2" s="73"/>
      <c r="Y2" s="67"/>
      <c r="Z2" s="74"/>
      <c r="AB2" s="149" t="s">
        <v>28</v>
      </c>
    </row>
    <row r="3" spans="1:34">
      <c r="X3" s="134" t="s">
        <v>354</v>
      </c>
      <c r="Y3" s="67">
        <v>246</v>
      </c>
      <c r="Z3" s="74"/>
      <c r="AB3" s="149" t="s">
        <v>172</v>
      </c>
      <c r="AH3" t="s">
        <v>27</v>
      </c>
    </row>
    <row r="4" spans="1:34">
      <c r="X4" s="134" t="s">
        <v>355</v>
      </c>
      <c r="Y4" s="67">
        <v>366</v>
      </c>
      <c r="Z4" s="74"/>
      <c r="AB4" s="149" t="s">
        <v>300</v>
      </c>
      <c r="AH4" t="s">
        <v>301</v>
      </c>
    </row>
    <row r="5" spans="1:34">
      <c r="X5" s="134" t="s">
        <v>356</v>
      </c>
      <c r="Y5" s="67">
        <v>437</v>
      </c>
      <c r="Z5" s="74"/>
      <c r="AB5" s="149" t="s">
        <v>171</v>
      </c>
      <c r="AH5" t="s">
        <v>15</v>
      </c>
    </row>
    <row r="6" spans="1:34">
      <c r="X6" s="134" t="s">
        <v>309</v>
      </c>
      <c r="Y6" s="67">
        <v>624</v>
      </c>
      <c r="Z6" s="74" t="s">
        <v>130</v>
      </c>
    </row>
    <row r="7" spans="1:34">
      <c r="X7" s="73"/>
      <c r="Y7" s="67"/>
      <c r="Z7" s="74"/>
    </row>
    <row r="8" spans="1:34" ht="17">
      <c r="R8" s="7" t="s">
        <v>16</v>
      </c>
      <c r="X8" s="134" t="s">
        <v>267</v>
      </c>
      <c r="Y8" s="67">
        <v>655</v>
      </c>
      <c r="Z8" s="74" t="s">
        <v>130</v>
      </c>
    </row>
    <row r="9" spans="1:34">
      <c r="O9" s="186" t="s">
        <v>407</v>
      </c>
      <c r="P9" s="186"/>
      <c r="R9" s="7">
        <f>($B$20*$B$17^2+$B$14*(($B$18/$B$17)-$B$17*$B$20))/2</f>
        <v>28.84</v>
      </c>
      <c r="X9" s="134" t="s">
        <v>308</v>
      </c>
      <c r="Y9" s="67">
        <v>924</v>
      </c>
      <c r="Z9" s="74" t="s">
        <v>130</v>
      </c>
    </row>
    <row r="10" spans="1:34" ht="16">
      <c r="D10" s="2"/>
      <c r="E10" s="2"/>
      <c r="F10" s="2"/>
      <c r="G10" s="2"/>
      <c r="H10" s="2"/>
      <c r="I10" s="2"/>
      <c r="J10" s="2"/>
      <c r="K10" s="4" t="s">
        <v>111</v>
      </c>
      <c r="L10" s="2"/>
      <c r="M10" s="2"/>
      <c r="N10" s="2"/>
      <c r="O10" s="114">
        <f>U24/4000</f>
        <v>2</v>
      </c>
      <c r="P10" s="112" t="s">
        <v>394</v>
      </c>
      <c r="R10" t="s">
        <v>13</v>
      </c>
      <c r="X10" s="73"/>
      <c r="Y10" s="67"/>
      <c r="Z10" s="74"/>
    </row>
    <row r="11" spans="1:34" ht="16">
      <c r="D11" s="2"/>
      <c r="E11" s="2"/>
      <c r="F11" s="2"/>
      <c r="G11" s="2"/>
      <c r="H11" s="2"/>
      <c r="I11" s="2"/>
      <c r="J11" s="2"/>
      <c r="K11" s="4">
        <v>1.34</v>
      </c>
      <c r="M11" s="2" t="s">
        <v>113</v>
      </c>
      <c r="N11" s="2" t="s">
        <v>113</v>
      </c>
      <c r="O11" s="112" t="s">
        <v>116</v>
      </c>
      <c r="R11" s="31" t="s">
        <v>22</v>
      </c>
      <c r="X11" s="134" t="s">
        <v>315</v>
      </c>
      <c r="Y11" s="67">
        <v>376</v>
      </c>
      <c r="Z11" s="74" t="s">
        <v>130</v>
      </c>
    </row>
    <row r="12" spans="1:34">
      <c r="A12" s="5" t="s">
        <v>261</v>
      </c>
      <c r="B12" s="5">
        <v>13</v>
      </c>
      <c r="D12" s="11" t="s">
        <v>425</v>
      </c>
      <c r="E12" s="12" t="s">
        <v>426</v>
      </c>
      <c r="F12" s="12" t="s">
        <v>262</v>
      </c>
      <c r="G12" s="12" t="s">
        <v>127</v>
      </c>
      <c r="H12" s="12" t="s">
        <v>48</v>
      </c>
      <c r="I12" s="13" t="s">
        <v>43</v>
      </c>
      <c r="J12" s="2" t="s">
        <v>24</v>
      </c>
      <c r="K12" s="2" t="s">
        <v>25</v>
      </c>
      <c r="L12" s="9" t="s">
        <v>112</v>
      </c>
      <c r="M12" s="9" t="s">
        <v>114</v>
      </c>
      <c r="N12" s="9" t="s">
        <v>252</v>
      </c>
      <c r="O12" s="112" t="s">
        <v>118</v>
      </c>
      <c r="P12" t="s">
        <v>269</v>
      </c>
      <c r="X12" s="134" t="s">
        <v>316</v>
      </c>
      <c r="Y12" s="67">
        <v>429</v>
      </c>
      <c r="Z12" s="74" t="s">
        <v>130</v>
      </c>
    </row>
    <row r="13" spans="1:34">
      <c r="A13" s="5" t="s">
        <v>143</v>
      </c>
      <c r="B13" s="5">
        <v>4</v>
      </c>
      <c r="D13" s="35">
        <v>21.5</v>
      </c>
      <c r="E13" s="9">
        <f>(0.5+(0.00000036*$B$16*$B$19^3*($B$13*0.0254)*($B$12*0.0254)^4)*($B$20+$B$21)*$D13-(0.25-(0.00000036*$B$16*$B$19^3*($B$13*0.0254)*($B$12*0.0254)^4)*(($B$20+$B$21)^2*$B$14-($B$20+$B$21)*$D13))^(1/2))/((0.00000036*$B$16*$B$19^3*($B$13*0.0254)*($B$12*0.0254)^4)*($B$20+$B$21)^2)</f>
        <v>10.206570526886221</v>
      </c>
      <c r="F13" s="36">
        <f t="shared" ref="F13:F15" si="0">D13*E13</f>
        <v>219.44126632805376</v>
      </c>
      <c r="G13" s="36">
        <f>(D13-($B$20+$B$21)*E13)*(E13-$B$14)</f>
        <v>190.6294020524717</v>
      </c>
      <c r="H13" s="9">
        <f t="shared" ref="H13:H15" si="1">G13/F13*100</f>
        <v>86.870352710911831</v>
      </c>
      <c r="I13" s="37">
        <f>$B$19*(D13-(E13*($B$20+$B$21)))</f>
        <v>7429.66499868345</v>
      </c>
      <c r="J13" s="38">
        <f>(($B$12*0.0254)^4)*($B$13*0.0254)*(I13^3)*2*$B$16*0.00000018</f>
        <v>190.62940205247273</v>
      </c>
      <c r="K13" s="36">
        <f>$K$11*0.6*((0.6*3.1416*($B$12*0.0254)^2*J13^2)^(1/3))/9.81*1000</f>
        <v>1602.0118490244349</v>
      </c>
      <c r="L13" s="2">
        <f t="shared" ref="L13:L15" si="2">K13/F13</f>
        <v>7.3004128887476751</v>
      </c>
      <c r="M13" s="38">
        <f t="shared" ref="M13:M15" si="3">1.30652287/($B$12*0.0254)*POWER(K13*0.00981,3/2)</f>
        <v>246.51425859078111</v>
      </c>
      <c r="N13" s="38">
        <f>POWER(I13/$B$15,3)*100</f>
        <v>221.45379596363645</v>
      </c>
      <c r="O13" s="38">
        <f t="shared" ref="O13:O15" si="4">0.65*60*O$10/E13</f>
        <v>7.6421359941159315</v>
      </c>
      <c r="P13" s="33">
        <f>($B$20*$B$14+SQRT($B$20^2*$B$14^2+4*$B$20*($R$9-(D13*$B$14))))/(2*$B$20)</f>
        <v>10.212368664165682</v>
      </c>
      <c r="X13" s="134" t="s">
        <v>312</v>
      </c>
      <c r="Y13" s="67">
        <v>489</v>
      </c>
      <c r="Z13" s="74" t="s">
        <v>130</v>
      </c>
    </row>
    <row r="14" spans="1:34">
      <c r="A14" s="10" t="s">
        <v>63</v>
      </c>
      <c r="B14" s="5">
        <v>0.2</v>
      </c>
      <c r="D14" s="56">
        <v>21.4</v>
      </c>
      <c r="E14" s="9">
        <f>(0.5+(0.00000036*$B$16*$B$19^3*($B$13*0.0254)*($B$12*0.0254)^4)*($B$20+$B$21)*$D14-(0.25-(0.00000036*$B$16*$B$19^3*($B$13*0.0254)*($B$12*0.0254)^4)*(($B$20+$B$21)^2*$B$14-($B$20+$B$21)*$D14))^(1/2))/((0.00000036*$B$16*$B$19^3*($B$13*0.0254)*($B$12*0.0254)^4)*($B$20+$B$21)^2)</f>
        <v>10.12281113990414</v>
      </c>
      <c r="F14" s="36">
        <f t="shared" si="0"/>
        <v>216.62815839394858</v>
      </c>
      <c r="G14" s="36">
        <f>(D14-($B$20+$B$21)*E14)*(E14-$B$14)</f>
        <v>188.24094003886384</v>
      </c>
      <c r="H14" s="36">
        <f t="shared" si="1"/>
        <v>86.895877911004888</v>
      </c>
      <c r="I14" s="37">
        <f>$B$19*(D14-(E14*($B$20+$B$21)))</f>
        <v>7398.5048773049721</v>
      </c>
      <c r="J14" s="38">
        <f>(($B$12*0.0254)^4)*($B$13*0.0254)*(I14^3)*2*$B$16*0.00000018</f>
        <v>188.24094003886381</v>
      </c>
      <c r="K14" s="121">
        <f t="shared" ref="K14" si="5">$K$11*0.6*((0.6*3.1416*($B$12*0.0254)^2*J14^2)^(1/3))/9.81*1000</f>
        <v>1588.6023067589927</v>
      </c>
      <c r="L14" s="38">
        <f t="shared" si="2"/>
        <v>7.333314000066621</v>
      </c>
      <c r="M14" s="38">
        <f t="shared" si="3"/>
        <v>243.42559579208555</v>
      </c>
      <c r="N14" s="38">
        <f>POWER(I14/$B$15,3)*100</f>
        <v>218.67912440859979</v>
      </c>
      <c r="O14" s="38">
        <f t="shared" si="4"/>
        <v>7.7053694790890503</v>
      </c>
      <c r="P14" s="34">
        <f>($B$20*$B$14+SQRT($B$20^2*$B$14^2+4*$B$20*($R$9-(D14*$B$14))))/(2*$B$20)</f>
        <v>10.216488191726086</v>
      </c>
      <c r="X14" s="134" t="s">
        <v>353</v>
      </c>
      <c r="Y14" s="67">
        <v>650</v>
      </c>
      <c r="Z14" s="74" t="s">
        <v>130</v>
      </c>
    </row>
    <row r="15" spans="1:34">
      <c r="A15" s="4" t="s">
        <v>14</v>
      </c>
      <c r="B15" s="4">
        <v>5700</v>
      </c>
      <c r="D15" s="137">
        <v>21.4</v>
      </c>
      <c r="E15" s="9">
        <f>(0.5+(0.00000036*$B$16*$B$19^3*($B$13*0.0254)*($B$12*0.0254)^4)*($B$20+$B$21)*$D15-(0.25-(0.00000036*$B$16*$B$19^3*($B$13*0.0254)*($B$12*0.0254)^4)*(($B$20+$B$21)^2*$B$14-($B$20+$B$21)*$D15))^(1/2))/((0.00000036*$B$16*$B$19^3*($B$13*0.0254)*($B$12*0.0254)^4)*($B$20+$B$21)^2)</f>
        <v>10.12281113990414</v>
      </c>
      <c r="F15" s="36">
        <f t="shared" si="0"/>
        <v>216.62815839394858</v>
      </c>
      <c r="G15" s="36">
        <f>(D15-($B$20+$B$21)*E15)*(E15-$B$14)</f>
        <v>188.24094003886384</v>
      </c>
      <c r="H15" s="9">
        <f t="shared" si="1"/>
        <v>86.895877911004888</v>
      </c>
      <c r="I15" s="37">
        <f>$B$19*(D15-(E15*($B$20+$B$21)))</f>
        <v>7398.5048773049721</v>
      </c>
      <c r="J15" s="38">
        <f>(($B$12*0.0254)^4)*($B$13*0.0254)*(I15^3)*2*$B$16*0.00000018</f>
        <v>188.24094003886381</v>
      </c>
      <c r="K15" s="65">
        <f>$K$11*0.6*((0.6*3.1416*($B$12*0.0254)^2*J15^2)^(1/3))/9.81*1000</f>
        <v>1588.6023067589927</v>
      </c>
      <c r="L15" s="2">
        <f t="shared" si="2"/>
        <v>7.333314000066621</v>
      </c>
      <c r="M15" s="38">
        <f t="shared" si="3"/>
        <v>243.42559579208555</v>
      </c>
      <c r="N15" s="38">
        <f>POWER(I15/$B$15,3)*100</f>
        <v>218.67912440859979</v>
      </c>
      <c r="O15" s="38">
        <f t="shared" si="4"/>
        <v>7.7053694790890503</v>
      </c>
      <c r="P15" s="34">
        <f>($B$20*$B$14+SQRT($B$20^2*$B$14^2+4*$B$20*($R$9-(D15*$B$14))))/(2*$B$20)</f>
        <v>10.216488191726086</v>
      </c>
      <c r="X15" s="134" t="s">
        <v>131</v>
      </c>
      <c r="Y15" s="67">
        <v>843</v>
      </c>
      <c r="Z15" s="74" t="s">
        <v>130</v>
      </c>
    </row>
    <row r="16" spans="1:34">
      <c r="A16" s="4" t="s">
        <v>271</v>
      </c>
      <c r="B16" s="4">
        <v>1.069</v>
      </c>
      <c r="D16" s="137">
        <v>16.484999999999999</v>
      </c>
      <c r="E16" s="9">
        <f>(0.5+(0.00000036*$B$16*$B$19^3*($B$13*0.0254)*($B$12*0.0254)^4)*($B$20+$B$21)*$D16-(0.25-(0.00000036*$B$16*$B$19^3*($B$13*0.0254)*($B$12*0.0254)^4)*(($B$20+$B$21)^2*$B$14-($B$20+$B$21)*$D16))^(1/2))/((0.00000036*$B$16*$B$19^3*($B$13*0.0254)*($B$12*0.0254)^4)*($B$20+$B$21)^2)</f>
        <v>6.3680242993224834</v>
      </c>
      <c r="F16" s="36">
        <f>D16*E16</f>
        <v>104.97688057433113</v>
      </c>
      <c r="G16" s="36">
        <f>(D16-($B$20+$B$21)*E16)*(E16-$B$14)</f>
        <v>92.253129706275828</v>
      </c>
      <c r="H16" s="9">
        <f>G16/F16*100</f>
        <v>87.879473272168738</v>
      </c>
      <c r="I16" s="37">
        <f>$B$19*(D16-(E16*($B$20+$B$21)))</f>
        <v>5833.1029255834155</v>
      </c>
      <c r="J16" s="38">
        <f>(($B$12*0.0254)^4)*($B$13*0.0254)*(I16^3)*2*$B$16*0.00000018</f>
        <v>92.253129706276113</v>
      </c>
      <c r="K16" s="65">
        <f>$K$11*0.6*((0.6*3.1416*($B$12*0.0254)^2*J16^2)^(1/3))/9.81*1000</f>
        <v>987.47597751254932</v>
      </c>
      <c r="L16" s="2">
        <f>K16/F16</f>
        <v>9.4066043123975831</v>
      </c>
      <c r="M16" s="38">
        <f>1.30652287/($B$12*0.0254)*POWER(K16*0.00981,3/2)</f>
        <v>119.29802867430674</v>
      </c>
      <c r="N16" s="38">
        <f>POWER(I16/$B$15,3)*100</f>
        <v>107.17027668878194</v>
      </c>
      <c r="O16" s="38">
        <f>0.65*60*O$10/E16</f>
        <v>12.248696979422439</v>
      </c>
      <c r="P16" s="34">
        <f>($B$20*$B$14+SQRT($B$20^2*$B$14^2+4*$B$20*($R$9-(D16*$B$14))))/(2*$B$20)</f>
        <v>10.416935914634085</v>
      </c>
      <c r="X16" s="134" t="s">
        <v>132</v>
      </c>
      <c r="Y16" s="67">
        <v>908</v>
      </c>
      <c r="Z16" s="74" t="s">
        <v>130</v>
      </c>
    </row>
    <row r="17" spans="1:26">
      <c r="A17" s="5" t="s">
        <v>269</v>
      </c>
      <c r="B17" s="5">
        <v>15</v>
      </c>
      <c r="D17" s="138">
        <v>13.56</v>
      </c>
      <c r="E17" s="17">
        <f>(0.5+(0.00000036*$B$16*$B$19^3*($B$13*0.0254)*($B$12*0.0254)^4)*($B$20+$B$21)*$D17-(0.25-(0.00000036*$B$16*$B$19^3*($B$13*0.0254)*($B$12*0.0254)^4)*(($B$20+$B$21)^2*$B$14-($B$20+$B$21)*$D17))^(1/2))/((0.00000036*$B$16*$B$19^3*($B$13*0.0254)*($B$12*0.0254)^4)*($B$20+$B$21)^2)</f>
        <v>4.4952166720367259</v>
      </c>
      <c r="F17" s="61">
        <f>D17*E17</f>
        <v>60.955138072818009</v>
      </c>
      <c r="G17" s="61">
        <f>(D17-($B$20+$B$21)*E17)*(E17-$B$14)</f>
        <v>53.609234970222104</v>
      </c>
      <c r="H17" s="17">
        <f>G17/F17*100</f>
        <v>87.948672852122215</v>
      </c>
      <c r="I17" s="62">
        <f>$B$19*(D17-(E17*($B$20+$B$21)))</f>
        <v>4867.6477194973631</v>
      </c>
      <c r="J17" s="38">
        <f>(($B$12*0.0254)^4)*($B$13*0.0254)*(I17^3)*2*$B$16*0.00000018</f>
        <v>53.609234970222261</v>
      </c>
      <c r="K17" s="66">
        <f>$K$11*0.6*((0.6*3.1416*($B$12*0.0254)^2*J17^2)^(1/3))/9.81*1000</f>
        <v>687.64697997599569</v>
      </c>
      <c r="L17" s="2">
        <f>K17/F17</f>
        <v>11.281197971441248</v>
      </c>
      <c r="M17" s="38">
        <f>1.30652287/($B$12*0.0254)*POWER(K17*0.00981,3/2)</f>
        <v>69.325301711147546</v>
      </c>
      <c r="N17" s="38">
        <f>POWER(I17/$B$15,3)*100</f>
        <v>62.277741287749322</v>
      </c>
      <c r="O17" s="38">
        <f>0.65*60*O$10/E17</f>
        <v>17.35177760956719</v>
      </c>
      <c r="P17" s="34">
        <f>($B$20*$B$14+SQRT($B$20^2*$B$14^2+4*$B$20*($R$9-(D17*$B$14))))/(2*$B$20)</f>
        <v>10.534398241713159</v>
      </c>
      <c r="X17" s="134" t="s">
        <v>307</v>
      </c>
      <c r="Y17" s="67">
        <v>929</v>
      </c>
      <c r="Z17" s="74" t="s">
        <v>130</v>
      </c>
    </row>
    <row r="18" spans="1:26" ht="17">
      <c r="A18" s="5" t="s">
        <v>17</v>
      </c>
      <c r="B18" s="5">
        <v>330</v>
      </c>
      <c r="T18" s="2"/>
      <c r="U18" s="2" t="s">
        <v>197</v>
      </c>
      <c r="V18" s="2" t="s">
        <v>198</v>
      </c>
      <c r="X18" s="135" t="s">
        <v>54</v>
      </c>
      <c r="Y18" s="17">
        <v>1105</v>
      </c>
      <c r="Z18" s="77" t="s">
        <v>130</v>
      </c>
    </row>
    <row r="19" spans="1:26" ht="16">
      <c r="A19" s="5" t="s">
        <v>157</v>
      </c>
      <c r="B19" s="5">
        <v>390</v>
      </c>
      <c r="H19" s="82" t="s">
        <v>230</v>
      </c>
      <c r="I19" s="83"/>
      <c r="J19" s="83"/>
      <c r="K19" s="83"/>
      <c r="L19" s="83"/>
      <c r="M19" s="83"/>
      <c r="N19" s="84"/>
      <c r="T19" s="2" t="s">
        <v>196</v>
      </c>
      <c r="U19">
        <f>1120+U21+(4*(U20+U22))</f>
        <v>2697</v>
      </c>
      <c r="V19" s="2">
        <f>U19+1200</f>
        <v>3897</v>
      </c>
    </row>
    <row r="20" spans="1:26" ht="16">
      <c r="A20" s="5" t="s">
        <v>158</v>
      </c>
      <c r="B20" s="5">
        <v>0.24</v>
      </c>
      <c r="H20" s="120" t="str">
        <f>X20</f>
        <v>Turnigy nano-tech 8000mAh 6S 25~50C Lipo Pack</v>
      </c>
      <c r="I20" s="86"/>
      <c r="J20" s="86"/>
      <c r="K20" s="86"/>
      <c r="L20" s="86"/>
      <c r="M20" s="86"/>
      <c r="N20" s="87"/>
      <c r="T20" s="2" t="s">
        <v>50</v>
      </c>
      <c r="U20" s="2">
        <v>85</v>
      </c>
      <c r="V20" s="2"/>
      <c r="X20" s="135" t="s">
        <v>54</v>
      </c>
      <c r="Y20" s="17">
        <v>1105</v>
      </c>
      <c r="Z20" s="77" t="s">
        <v>130</v>
      </c>
    </row>
    <row r="21" spans="1:26">
      <c r="A21" s="5" t="s">
        <v>250</v>
      </c>
      <c r="B21" s="5">
        <v>0</v>
      </c>
      <c r="H21" s="11" t="s">
        <v>425</v>
      </c>
      <c r="I21" s="71" t="str">
        <f>K12</f>
        <v>F calculé</v>
      </c>
      <c r="J21" s="71" t="str">
        <f>L12</f>
        <v>efficacité</v>
      </c>
      <c r="K21" s="71" t="str">
        <f>O12</f>
        <v>minutes</v>
      </c>
      <c r="L21" s="71" t="s">
        <v>153</v>
      </c>
      <c r="M21" s="71">
        <f>U21</f>
        <v>1105</v>
      </c>
      <c r="N21" s="72" t="s">
        <v>154</v>
      </c>
      <c r="T21" s="114" t="s">
        <v>200</v>
      </c>
      <c r="U21">
        <f>Y20</f>
        <v>1105</v>
      </c>
      <c r="V21">
        <v>22.2</v>
      </c>
      <c r="W21" t="s">
        <v>264</v>
      </c>
    </row>
    <row r="22" spans="1:26">
      <c r="H22" s="14">
        <f>D14</f>
        <v>21.4</v>
      </c>
      <c r="I22" s="129">
        <f>K14</f>
        <v>1588.6023067589927</v>
      </c>
      <c r="J22" s="67">
        <f>L14</f>
        <v>7.333314000066621</v>
      </c>
      <c r="K22" s="129">
        <f>O14</f>
        <v>7.7053694790890503</v>
      </c>
      <c r="L22" s="67"/>
      <c r="M22" s="67">
        <f>O10</f>
        <v>2</v>
      </c>
      <c r="N22" s="132" t="s">
        <v>394</v>
      </c>
      <c r="T22" s="141" t="s">
        <v>47</v>
      </c>
      <c r="U22">
        <v>33</v>
      </c>
    </row>
    <row r="23" spans="1:26">
      <c r="H23" s="14">
        <f t="shared" ref="H23:H24" si="6">D15</f>
        <v>21.4</v>
      </c>
      <c r="I23" s="130">
        <f t="shared" ref="I23:I24" si="7">K15</f>
        <v>1588.6023067589927</v>
      </c>
      <c r="J23" s="67">
        <f t="shared" ref="J23:J24" si="8">L15</f>
        <v>7.333314000066621</v>
      </c>
      <c r="K23" s="130">
        <f t="shared" ref="K23:K24" si="9">O15</f>
        <v>7.7053694790890503</v>
      </c>
      <c r="L23" s="67"/>
      <c r="M23" s="67"/>
      <c r="N23" s="74"/>
      <c r="T23" s="2" t="s">
        <v>51</v>
      </c>
      <c r="U23" s="2">
        <f>1174/4+$U21/4+$U20+U22</f>
        <v>687.75</v>
      </c>
      <c r="V23" s="2">
        <f>U23+(1200/4)</f>
        <v>987.75</v>
      </c>
      <c r="W23">
        <f>V19*1.63/4</f>
        <v>1588.0274999999999</v>
      </c>
      <c r="X23" t="s">
        <v>130</v>
      </c>
    </row>
    <row r="24" spans="1:26">
      <c r="H24" s="14">
        <f t="shared" si="6"/>
        <v>16.484999999999999</v>
      </c>
      <c r="I24" s="130">
        <f t="shared" si="7"/>
        <v>987.47597751254932</v>
      </c>
      <c r="J24" s="67">
        <f t="shared" si="8"/>
        <v>9.4066043123975831</v>
      </c>
      <c r="K24" s="130">
        <f t="shared" si="9"/>
        <v>12.248696979422439</v>
      </c>
      <c r="L24" s="67"/>
      <c r="M24" s="67"/>
      <c r="N24" s="74"/>
      <c r="T24" s="2" t="s">
        <v>152</v>
      </c>
      <c r="U24" s="136">
        <v>8000</v>
      </c>
      <c r="V24" t="s">
        <v>53</v>
      </c>
    </row>
    <row r="25" spans="1:26">
      <c r="H25" s="16">
        <f t="shared" ref="H25" si="10">D17</f>
        <v>13.56</v>
      </c>
      <c r="I25" s="131">
        <f t="shared" ref="I25" si="11">K17</f>
        <v>687.64697997599569</v>
      </c>
      <c r="J25" s="76">
        <f t="shared" ref="J25" si="12">L17</f>
        <v>11.281197971441248</v>
      </c>
      <c r="K25" s="131">
        <f t="shared" ref="K25" si="13">O17</f>
        <v>17.35177760956719</v>
      </c>
      <c r="L25" s="76"/>
      <c r="M25" s="76"/>
      <c r="N25" s="77"/>
    </row>
    <row r="26" spans="1:26">
      <c r="D26" s="36"/>
      <c r="E26" s="9"/>
      <c r="F26" s="9"/>
      <c r="G26" s="36"/>
      <c r="H26" s="9"/>
      <c r="I26" s="36"/>
      <c r="J26" s="36"/>
      <c r="K26" s="36"/>
      <c r="L26" s="9"/>
      <c r="M26" s="36"/>
      <c r="N26" s="36"/>
      <c r="O26" s="36"/>
      <c r="P26" s="88"/>
    </row>
    <row r="35" spans="1:25" ht="16">
      <c r="A35" s="82" t="s">
        <v>155</v>
      </c>
      <c r="B35" s="83"/>
      <c r="C35" s="83"/>
      <c r="D35" s="83"/>
      <c r="E35" s="83"/>
      <c r="F35" s="83"/>
      <c r="G35" s="84"/>
    </row>
    <row r="36" spans="1:25" ht="16">
      <c r="A36" s="126" t="s">
        <v>315</v>
      </c>
      <c r="B36" s="123"/>
      <c r="C36" s="123"/>
      <c r="D36" s="123"/>
      <c r="E36" s="123"/>
      <c r="F36" s="123"/>
      <c r="G36" s="124"/>
    </row>
    <row r="37" spans="1:25">
      <c r="A37" s="11" t="s">
        <v>64</v>
      </c>
      <c r="B37" s="12" t="s">
        <v>156</v>
      </c>
      <c r="C37" s="12" t="s">
        <v>214</v>
      </c>
      <c r="D37" s="127" t="s">
        <v>118</v>
      </c>
      <c r="E37" s="127" t="s">
        <v>200</v>
      </c>
      <c r="F37" s="71">
        <v>376</v>
      </c>
      <c r="G37" s="72" t="s">
        <v>185</v>
      </c>
    </row>
    <row r="38" spans="1:25">
      <c r="A38" s="56">
        <v>21.4</v>
      </c>
      <c r="B38" s="122">
        <v>1588.6023067589927</v>
      </c>
      <c r="C38" s="36">
        <v>7.333314000066621</v>
      </c>
      <c r="D38" s="122">
        <v>2.5524036399482477</v>
      </c>
      <c r="E38" s="36"/>
      <c r="F38" s="36">
        <v>0.66249999999999998</v>
      </c>
      <c r="G38" s="132" t="s">
        <v>394</v>
      </c>
    </row>
    <row r="39" spans="1:25">
      <c r="A39" s="56">
        <v>18.829999999999998</v>
      </c>
      <c r="B39" s="115">
        <v>1259.7779538293157</v>
      </c>
      <c r="C39" s="9">
        <v>8.2914373639091021</v>
      </c>
      <c r="D39" s="115">
        <v>3.2021128250870121</v>
      </c>
      <c r="E39" s="9"/>
      <c r="F39" s="36"/>
      <c r="G39" s="37"/>
    </row>
    <row r="40" spans="1:25">
      <c r="A40" s="56">
        <v>14.43</v>
      </c>
      <c r="B40" s="115">
        <v>772.01582345671068</v>
      </c>
      <c r="C40" s="9">
        <v>10.652839109823676</v>
      </c>
      <c r="D40" s="115">
        <v>5.144651806918187</v>
      </c>
      <c r="E40" s="9"/>
      <c r="F40" s="36"/>
      <c r="G40" s="37"/>
    </row>
    <row r="41" spans="1:25">
      <c r="A41" s="60">
        <v>11.1</v>
      </c>
      <c r="B41" s="128">
        <v>472.31285149671589</v>
      </c>
      <c r="C41" s="17">
        <v>13.5073663460261</v>
      </c>
      <c r="D41" s="128">
        <v>8.2018983881987886</v>
      </c>
      <c r="E41" s="17"/>
      <c r="F41" s="61"/>
      <c r="G41" s="62"/>
    </row>
    <row r="43" spans="1:25" ht="16">
      <c r="A43" s="82" t="s">
        <v>155</v>
      </c>
      <c r="B43" s="83"/>
      <c r="C43" s="83"/>
      <c r="D43" s="83"/>
      <c r="E43" s="83"/>
      <c r="F43" s="83"/>
      <c r="G43" s="84"/>
    </row>
    <row r="44" spans="1:25" ht="16">
      <c r="A44" s="126" t="s">
        <v>312</v>
      </c>
      <c r="B44" s="46"/>
      <c r="C44" s="46"/>
      <c r="D44" s="46"/>
      <c r="E44" s="46"/>
      <c r="F44" s="46"/>
      <c r="G44" s="124"/>
    </row>
    <row r="45" spans="1:25">
      <c r="A45" s="11" t="s">
        <v>64</v>
      </c>
      <c r="B45" s="12" t="s">
        <v>156</v>
      </c>
      <c r="C45" s="12" t="s">
        <v>214</v>
      </c>
      <c r="D45" s="127" t="s">
        <v>118</v>
      </c>
      <c r="E45" s="127" t="s">
        <v>200</v>
      </c>
      <c r="F45" s="71">
        <v>489</v>
      </c>
      <c r="G45" s="72" t="s">
        <v>185</v>
      </c>
      <c r="R45" s="9"/>
      <c r="S45" s="9"/>
      <c r="T45" s="9"/>
      <c r="U45" s="187"/>
      <c r="V45" s="187"/>
      <c r="W45" s="9"/>
      <c r="X45" s="9"/>
      <c r="Y45" s="9"/>
    </row>
    <row r="46" spans="1:25">
      <c r="A46" s="56">
        <v>21.4</v>
      </c>
      <c r="B46" s="122">
        <v>1588.6023067589927</v>
      </c>
      <c r="C46" s="36">
        <v>7.333314000066621</v>
      </c>
      <c r="D46" s="122">
        <v>3.1784649101242328</v>
      </c>
      <c r="E46" s="67"/>
      <c r="F46" s="67">
        <v>0.82499999999999996</v>
      </c>
      <c r="G46" s="74" t="s">
        <v>394</v>
      </c>
      <c r="R46" s="9"/>
      <c r="S46" s="9"/>
      <c r="T46" s="9"/>
      <c r="U46" s="125"/>
      <c r="V46" s="125"/>
      <c r="W46" s="9"/>
      <c r="X46" s="9"/>
      <c r="Y46" s="9"/>
    </row>
    <row r="47" spans="1:25">
      <c r="A47" s="56">
        <v>19.2</v>
      </c>
      <c r="B47" s="115">
        <v>1305.2065022697805</v>
      </c>
      <c r="C47" s="36">
        <v>8.1386757884884364</v>
      </c>
      <c r="D47" s="115">
        <v>3.852071182876625</v>
      </c>
      <c r="E47" s="67"/>
      <c r="F47" s="67"/>
      <c r="G47" s="74"/>
      <c r="R47" s="9"/>
      <c r="S47" s="9"/>
      <c r="T47" s="9"/>
      <c r="U47" s="125"/>
      <c r="V47" s="9"/>
      <c r="W47" s="9"/>
      <c r="X47" s="9"/>
      <c r="Y47" s="9"/>
    </row>
    <row r="48" spans="1:25">
      <c r="A48" s="56">
        <v>14.71</v>
      </c>
      <c r="B48" s="115">
        <v>800.05016285320744</v>
      </c>
      <c r="C48" s="36">
        <v>10.464668560503634</v>
      </c>
      <c r="D48" s="115">
        <v>6.1906961435753063</v>
      </c>
      <c r="E48" s="67"/>
      <c r="F48" s="67"/>
      <c r="G48" s="74"/>
      <c r="R48" s="9"/>
      <c r="S48" s="9"/>
      <c r="T48" s="9"/>
      <c r="U48" s="9"/>
      <c r="V48" s="9"/>
      <c r="W48" s="9"/>
      <c r="X48" s="9"/>
      <c r="Y48" s="9"/>
    </row>
    <row r="49" spans="1:25">
      <c r="A49" s="60">
        <v>11.45</v>
      </c>
      <c r="B49" s="128">
        <v>500.79327366289596</v>
      </c>
      <c r="C49" s="61">
        <v>13.141927930903577</v>
      </c>
      <c r="D49" s="128">
        <v>9.6677327484107742</v>
      </c>
      <c r="E49" s="76"/>
      <c r="F49" s="76"/>
      <c r="G49" s="77"/>
      <c r="R49" s="9"/>
      <c r="S49" s="9"/>
      <c r="T49" s="36"/>
      <c r="U49" s="9"/>
      <c r="V49" s="88"/>
      <c r="W49" s="9"/>
      <c r="X49" s="9"/>
      <c r="Y49" s="9"/>
    </row>
    <row r="50" spans="1:25">
      <c r="Q50" s="9"/>
      <c r="R50" s="9"/>
      <c r="S50" s="9"/>
      <c r="T50" s="36"/>
      <c r="U50" s="9"/>
      <c r="V50" s="88"/>
      <c r="W50" s="9"/>
      <c r="X50" s="9"/>
      <c r="Y50" s="9"/>
    </row>
    <row r="51" spans="1:25" ht="16">
      <c r="A51" s="82" t="s">
        <v>155</v>
      </c>
      <c r="B51" s="83"/>
      <c r="C51" s="83"/>
      <c r="D51" s="83"/>
      <c r="E51" s="83"/>
      <c r="F51" s="83"/>
      <c r="G51" s="84"/>
      <c r="Q51" s="9"/>
      <c r="R51" s="9"/>
      <c r="S51" s="9"/>
      <c r="T51" s="36"/>
      <c r="U51" s="9"/>
      <c r="V51" s="88"/>
      <c r="W51" s="9"/>
      <c r="X51" s="9"/>
      <c r="Y51" s="9"/>
    </row>
    <row r="52" spans="1:25" ht="16">
      <c r="A52" s="120" t="s">
        <v>132</v>
      </c>
      <c r="B52" s="86"/>
      <c r="C52" s="86"/>
      <c r="D52" s="86"/>
      <c r="E52" s="86"/>
      <c r="F52" s="86"/>
      <c r="G52" s="87"/>
      <c r="Q52" s="9"/>
      <c r="R52" s="9"/>
      <c r="S52" s="9"/>
      <c r="T52" s="36"/>
      <c r="U52" s="9"/>
      <c r="V52" s="88"/>
      <c r="W52" s="9"/>
      <c r="X52" s="9"/>
      <c r="Y52" s="9"/>
    </row>
    <row r="53" spans="1:25">
      <c r="A53" s="11" t="s">
        <v>64</v>
      </c>
      <c r="B53" s="71" t="s">
        <v>156</v>
      </c>
      <c r="C53" s="71" t="s">
        <v>214</v>
      </c>
      <c r="D53" s="71" t="s">
        <v>118</v>
      </c>
      <c r="E53" s="71" t="s">
        <v>200</v>
      </c>
      <c r="F53" s="71">
        <v>908</v>
      </c>
      <c r="G53" s="72" t="s">
        <v>185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>
      <c r="A54" s="14">
        <v>21.4</v>
      </c>
      <c r="B54" s="129">
        <v>1588.6023067589927</v>
      </c>
      <c r="C54" s="67">
        <v>7.333314000066621</v>
      </c>
      <c r="D54" s="129">
        <v>5.7790271093167878</v>
      </c>
      <c r="E54" s="67"/>
      <c r="F54" s="67">
        <v>1.5</v>
      </c>
      <c r="G54" s="74" t="s">
        <v>394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>
      <c r="A55" s="14">
        <v>20.54</v>
      </c>
      <c r="B55" s="130">
        <v>1475.1534604256349</v>
      </c>
      <c r="C55" s="67">
        <v>7.628764689643341</v>
      </c>
      <c r="D55" s="130">
        <v>6.2140296649432214</v>
      </c>
      <c r="E55" s="67"/>
      <c r="F55" s="67"/>
      <c r="G55" s="74"/>
    </row>
    <row r="56" spans="1:25">
      <c r="A56" s="14">
        <v>15.73</v>
      </c>
      <c r="B56" s="130">
        <v>905.72940867612647</v>
      </c>
      <c r="C56" s="67">
        <v>9.8302323297961731</v>
      </c>
      <c r="D56" s="130">
        <v>9.9873415331208744</v>
      </c>
      <c r="E56" s="67"/>
      <c r="F56" s="67"/>
      <c r="G56" s="74"/>
    </row>
    <row r="57" spans="1:25">
      <c r="A57" s="16">
        <v>12.67</v>
      </c>
      <c r="B57" s="131">
        <v>605.71080897764273</v>
      </c>
      <c r="C57" s="76">
        <v>12.001411294126736</v>
      </c>
      <c r="D57" s="131">
        <v>14.685863141792804</v>
      </c>
      <c r="E57" s="76"/>
      <c r="F57" s="76"/>
      <c r="G57" s="77"/>
    </row>
    <row r="59" spans="1:25" ht="16">
      <c r="A59" s="82" t="s">
        <v>155</v>
      </c>
      <c r="B59" s="83"/>
      <c r="C59" s="83"/>
      <c r="D59" s="83"/>
      <c r="E59" s="83"/>
      <c r="F59" s="83"/>
      <c r="G59" s="84"/>
    </row>
    <row r="60" spans="1:25" ht="16">
      <c r="A60" s="120" t="s">
        <v>54</v>
      </c>
      <c r="B60" s="86"/>
      <c r="C60" s="86"/>
      <c r="D60" s="86"/>
      <c r="E60" s="86"/>
      <c r="F60" s="86"/>
      <c r="G60" s="87"/>
    </row>
    <row r="61" spans="1:25">
      <c r="A61" s="11" t="s">
        <v>64</v>
      </c>
      <c r="B61" s="71" t="s">
        <v>156</v>
      </c>
      <c r="C61" s="71" t="s">
        <v>214</v>
      </c>
      <c r="D61" s="71" t="s">
        <v>118</v>
      </c>
      <c r="E61" s="71" t="s">
        <v>200</v>
      </c>
      <c r="F61" s="71">
        <v>1105</v>
      </c>
      <c r="G61" s="72" t="s">
        <v>185</v>
      </c>
    </row>
    <row r="62" spans="1:25">
      <c r="A62" s="14">
        <v>21.4</v>
      </c>
      <c r="B62" s="129">
        <v>1588.6023067589927</v>
      </c>
      <c r="C62" s="67">
        <v>7.333314000066621</v>
      </c>
      <c r="D62" s="129">
        <v>7.7053694790890503</v>
      </c>
      <c r="E62" s="67"/>
      <c r="F62" s="67">
        <v>2</v>
      </c>
      <c r="G62" s="132" t="s">
        <v>394</v>
      </c>
    </row>
    <row r="63" spans="1:25">
      <c r="A63" s="14">
        <v>21.4</v>
      </c>
      <c r="B63" s="130">
        <v>1588.6023067589927</v>
      </c>
      <c r="C63" s="67">
        <v>7.333314000066621</v>
      </c>
      <c r="D63" s="130">
        <v>7.7053694790890503</v>
      </c>
      <c r="E63" s="67"/>
      <c r="F63" s="67"/>
      <c r="G63" s="74"/>
    </row>
    <row r="64" spans="1:25">
      <c r="A64" s="14">
        <v>16.484999999999999</v>
      </c>
      <c r="B64" s="130">
        <v>987.47597751254932</v>
      </c>
      <c r="C64" s="67">
        <v>9.4066043123975831</v>
      </c>
      <c r="D64" s="130">
        <v>12.248696979422439</v>
      </c>
      <c r="E64" s="67"/>
      <c r="F64" s="67"/>
      <c r="G64" s="74"/>
    </row>
    <row r="65" spans="1:17">
      <c r="A65" s="16">
        <v>13.56</v>
      </c>
      <c r="B65" s="131">
        <v>687.64697997599569</v>
      </c>
      <c r="C65" s="76">
        <v>11.281197971441248</v>
      </c>
      <c r="D65" s="131">
        <v>17.35177760956719</v>
      </c>
      <c r="E65" s="76"/>
      <c r="F65" s="76"/>
      <c r="G65" s="77"/>
    </row>
    <row r="73" spans="1:17">
      <c r="B73" t="s">
        <v>69</v>
      </c>
    </row>
    <row r="74" spans="1:17">
      <c r="M74" t="s">
        <v>41</v>
      </c>
    </row>
    <row r="75" spans="1:17">
      <c r="M75">
        <v>1174</v>
      </c>
      <c r="N75" t="s">
        <v>121</v>
      </c>
      <c r="O75" t="s">
        <v>122</v>
      </c>
      <c r="P75">
        <f>M75-P76-P77-P78</f>
        <v>924</v>
      </c>
    </row>
    <row r="76" spans="1:17">
      <c r="C76" s="2"/>
      <c r="D76" s="2" t="s">
        <v>197</v>
      </c>
      <c r="E76" s="2" t="s">
        <v>198</v>
      </c>
      <c r="G76" s="105" t="s">
        <v>54</v>
      </c>
      <c r="O76" t="s">
        <v>39</v>
      </c>
      <c r="P76">
        <v>100</v>
      </c>
      <c r="Q76" t="s">
        <v>37</v>
      </c>
    </row>
    <row r="77" spans="1:17">
      <c r="C77" s="2" t="s">
        <v>196</v>
      </c>
      <c r="D77">
        <f>M80+D79+(6*D78)</f>
        <v>3176.26</v>
      </c>
      <c r="E77" s="2">
        <f>M80+1200+D79+(6*D78)</f>
        <v>4376.26</v>
      </c>
      <c r="O77" t="s">
        <v>38</v>
      </c>
      <c r="P77">
        <v>50</v>
      </c>
      <c r="Q77" t="s">
        <v>37</v>
      </c>
    </row>
    <row r="78" spans="1:17">
      <c r="C78" s="2" t="s">
        <v>50</v>
      </c>
      <c r="D78" s="2">
        <v>85</v>
      </c>
      <c r="E78" s="2"/>
      <c r="G78" s="105"/>
      <c r="H78" s="67"/>
      <c r="I78" s="67"/>
      <c r="J78" s="67"/>
      <c r="O78" t="s">
        <v>36</v>
      </c>
      <c r="P78">
        <v>100</v>
      </c>
      <c r="Q78" t="s">
        <v>37</v>
      </c>
    </row>
    <row r="79" spans="1:17">
      <c r="C79" s="139" t="s">
        <v>200</v>
      </c>
      <c r="D79">
        <f>Y20</f>
        <v>1105</v>
      </c>
      <c r="E79">
        <v>22.2</v>
      </c>
      <c r="F79" t="s">
        <v>264</v>
      </c>
      <c r="M79" t="s">
        <v>41</v>
      </c>
    </row>
    <row r="80" spans="1:17">
      <c r="C80" s="2" t="s">
        <v>51</v>
      </c>
      <c r="D80" s="2">
        <f>M80/6+$D79/6+$D78</f>
        <v>529.37666666666667</v>
      </c>
      <c r="E80" s="2">
        <f>(M80+1200)/6+$D79/6+$D78</f>
        <v>729.37666666666667</v>
      </c>
      <c r="F80">
        <f>E77*1.63/6</f>
        <v>1188.8839666666665</v>
      </c>
      <c r="G80" t="s">
        <v>130</v>
      </c>
      <c r="M80">
        <f>(P78*1.5)+P77+P76+(P75/4*5.46)</f>
        <v>1561.26</v>
      </c>
      <c r="N80" t="s">
        <v>40</v>
      </c>
    </row>
    <row r="81" spans="1:14">
      <c r="C81" s="2" t="s">
        <v>152</v>
      </c>
      <c r="D81" s="136">
        <v>8000</v>
      </c>
      <c r="E81" t="s">
        <v>53</v>
      </c>
    </row>
    <row r="85" spans="1:14" ht="18">
      <c r="A85" s="82" t="s">
        <v>155</v>
      </c>
      <c r="B85" s="83"/>
      <c r="C85" s="83"/>
      <c r="D85" s="83"/>
      <c r="E85" s="83"/>
      <c r="F85" s="83"/>
      <c r="G85" s="84"/>
      <c r="H85" t="s">
        <v>417</v>
      </c>
      <c r="I85" s="146" t="s">
        <v>105</v>
      </c>
      <c r="J85" s="90"/>
      <c r="K85" s="90"/>
      <c r="L85" s="90"/>
      <c r="M85" s="90"/>
      <c r="N85" s="91"/>
    </row>
    <row r="86" spans="1:14" ht="16">
      <c r="A86" s="120" t="s">
        <v>54</v>
      </c>
      <c r="B86" s="86"/>
      <c r="C86" s="86"/>
      <c r="D86" s="86"/>
      <c r="E86" s="86"/>
      <c r="F86" s="86"/>
      <c r="G86" s="87"/>
    </row>
    <row r="87" spans="1:14">
      <c r="A87" s="11" t="s">
        <v>64</v>
      </c>
      <c r="B87" s="71" t="s">
        <v>156</v>
      </c>
      <c r="C87" s="71" t="s">
        <v>214</v>
      </c>
      <c r="D87" s="71" t="s">
        <v>118</v>
      </c>
      <c r="E87" s="71" t="s">
        <v>200</v>
      </c>
      <c r="F87" s="71">
        <v>1105</v>
      </c>
      <c r="G87" s="72" t="s">
        <v>185</v>
      </c>
    </row>
    <row r="88" spans="1:14">
      <c r="A88" s="14">
        <v>21.4</v>
      </c>
      <c r="B88" s="129">
        <v>1588.6023067589927</v>
      </c>
      <c r="C88" s="67">
        <v>7.333314000066621</v>
      </c>
      <c r="D88" s="129">
        <v>5.1369129860593672</v>
      </c>
      <c r="E88" s="67"/>
      <c r="F88" s="67">
        <v>1.3333333333333333</v>
      </c>
      <c r="G88" s="132" t="s">
        <v>394</v>
      </c>
    </row>
    <row r="89" spans="1:14">
      <c r="A89" s="14">
        <v>18.239999999999998</v>
      </c>
      <c r="B89" s="130">
        <v>1188.7053635639279</v>
      </c>
      <c r="C89" s="67">
        <v>8.5469697815777419</v>
      </c>
      <c r="D89" s="130">
        <v>6.8197134015832903</v>
      </c>
      <c r="E89" s="67"/>
      <c r="F89" s="67"/>
      <c r="G89" s="74"/>
    </row>
    <row r="90" spans="1:14">
      <c r="A90" s="14">
        <v>14</v>
      </c>
      <c r="B90" s="130">
        <v>729.79499001359341</v>
      </c>
      <c r="C90" s="67">
        <v>10.954794830389236</v>
      </c>
      <c r="D90" s="130">
        <v>10.927850623330283</v>
      </c>
      <c r="E90" s="67"/>
      <c r="F90" s="67"/>
      <c r="G90" s="74"/>
    </row>
    <row r="91" spans="1:14">
      <c r="A91" s="16">
        <v>11.79</v>
      </c>
      <c r="B91" s="131">
        <v>529.15726322705859</v>
      </c>
      <c r="C91" s="76">
        <v>12.804185968768152</v>
      </c>
      <c r="D91" s="131">
        <v>14.834891022489828</v>
      </c>
      <c r="E91" s="76"/>
      <c r="F91" s="76"/>
      <c r="G91" s="77"/>
    </row>
    <row r="94" spans="1:14" ht="18">
      <c r="A94" s="142" t="s">
        <v>299</v>
      </c>
      <c r="B94" s="83"/>
      <c r="C94" s="83"/>
      <c r="D94" s="83"/>
      <c r="E94" s="83"/>
      <c r="F94" s="83"/>
      <c r="G94" s="83"/>
      <c r="H94" s="84"/>
      <c r="I94" s="9"/>
      <c r="J94" s="9"/>
      <c r="K94" s="9"/>
    </row>
    <row r="95" spans="1:14" ht="18">
      <c r="A95" s="143" t="s">
        <v>199</v>
      </c>
      <c r="B95" s="46"/>
      <c r="C95" s="46"/>
      <c r="D95" s="46"/>
      <c r="E95" s="46"/>
      <c r="F95" s="46"/>
      <c r="G95" s="46"/>
      <c r="H95" s="124"/>
      <c r="I95" s="9"/>
      <c r="J95" s="9"/>
      <c r="K95" s="9"/>
    </row>
    <row r="96" spans="1:14" ht="18">
      <c r="A96" s="144" t="s">
        <v>384</v>
      </c>
      <c r="B96" s="145"/>
      <c r="C96" s="145"/>
      <c r="D96" s="145"/>
      <c r="E96" s="145"/>
      <c r="F96" s="145"/>
      <c r="G96" s="145"/>
      <c r="H96" s="87"/>
      <c r="I96" s="9"/>
      <c r="J96" s="9"/>
      <c r="K96" s="9"/>
    </row>
    <row r="98" spans="1:23">
      <c r="B98" t="s">
        <v>385</v>
      </c>
      <c r="D98" t="s">
        <v>389</v>
      </c>
      <c r="F98" t="s">
        <v>390</v>
      </c>
      <c r="H98" t="s">
        <v>391</v>
      </c>
      <c r="O98" s="147" t="s">
        <v>336</v>
      </c>
      <c r="U98" s="148">
        <v>23.09</v>
      </c>
      <c r="V98">
        <v>4</v>
      </c>
      <c r="W98" s="148">
        <f>U98*V98</f>
        <v>92.36</v>
      </c>
    </row>
    <row r="99" spans="1:23">
      <c r="A99" s="140" t="s">
        <v>386</v>
      </c>
      <c r="B99">
        <v>100</v>
      </c>
      <c r="C99" t="s">
        <v>388</v>
      </c>
      <c r="D99">
        <v>100</v>
      </c>
      <c r="E99" t="s">
        <v>388</v>
      </c>
      <c r="F99">
        <f>U19</f>
        <v>2697</v>
      </c>
      <c r="G99" t="s">
        <v>106</v>
      </c>
      <c r="H99">
        <f>F99+1200</f>
        <v>3897</v>
      </c>
      <c r="I99" t="s">
        <v>106</v>
      </c>
      <c r="O99" s="147" t="s">
        <v>337</v>
      </c>
      <c r="U99" s="148">
        <v>17.73</v>
      </c>
      <c r="V99">
        <v>1</v>
      </c>
      <c r="W99" s="148">
        <f>U99*V99</f>
        <v>17.73</v>
      </c>
    </row>
    <row r="100" spans="1:23">
      <c r="A100" s="140" t="s">
        <v>387</v>
      </c>
      <c r="D100">
        <f>D99*13/16*POWER(H100/H99,1.5)*6/4</f>
        <v>121.875</v>
      </c>
      <c r="E100" t="s">
        <v>388</v>
      </c>
      <c r="F100">
        <f>U19</f>
        <v>2697</v>
      </c>
      <c r="G100" t="s">
        <v>106</v>
      </c>
      <c r="H100">
        <f>F100+1200</f>
        <v>3897</v>
      </c>
      <c r="I100" t="s">
        <v>106</v>
      </c>
      <c r="U100" t="s">
        <v>334</v>
      </c>
      <c r="W100" s="148">
        <f>W98+W99</f>
        <v>110.09</v>
      </c>
    </row>
    <row r="101" spans="1:23">
      <c r="D101" t="s">
        <v>231</v>
      </c>
    </row>
    <row r="102" spans="1:23">
      <c r="D102" t="s">
        <v>232</v>
      </c>
    </row>
    <row r="103" spans="1:23">
      <c r="D103" t="s">
        <v>235</v>
      </c>
    </row>
    <row r="106" spans="1:23">
      <c r="C106" s="36" t="s">
        <v>328</v>
      </c>
    </row>
    <row r="107" spans="1:23">
      <c r="B107" s="2" t="s">
        <v>329</v>
      </c>
      <c r="C107" s="36">
        <v>5700</v>
      </c>
      <c r="D107" s="2"/>
      <c r="E107" s="2"/>
      <c r="F107" s="2"/>
    </row>
    <row r="108" spans="1:23">
      <c r="B108" s="9" t="s">
        <v>401</v>
      </c>
      <c r="C108" s="2">
        <f>C107/(5/4*(16/13)^2)</f>
        <v>3010.3124999999995</v>
      </c>
      <c r="D108" s="9" t="s">
        <v>234</v>
      </c>
      <c r="F108" s="9"/>
      <c r="J108" s="9"/>
    </row>
    <row r="109" spans="1:23">
      <c r="F109" s="9"/>
      <c r="H109" s="36"/>
      <c r="I109" s="9"/>
      <c r="J109" s="36"/>
      <c r="K109">
        <f>446-85+955</f>
        <v>1316</v>
      </c>
    </row>
    <row r="110" spans="1:23">
      <c r="D110" s="2"/>
      <c r="E110" s="2"/>
      <c r="H110" s="36"/>
      <c r="I110" s="36"/>
      <c r="J110" s="36"/>
      <c r="K110" s="36"/>
      <c r="L110" s="36"/>
    </row>
    <row r="111" spans="1:23">
      <c r="B111" s="5" t="s">
        <v>236</v>
      </c>
      <c r="C111" s="5">
        <v>16</v>
      </c>
      <c r="D111" s="2" t="s">
        <v>24</v>
      </c>
      <c r="E111" s="2" t="s">
        <v>25</v>
      </c>
      <c r="G111" t="s">
        <v>402</v>
      </c>
    </row>
    <row r="112" spans="1:23">
      <c r="B112" s="5" t="s">
        <v>325</v>
      </c>
      <c r="C112" s="5">
        <v>5</v>
      </c>
      <c r="D112" s="38">
        <v>115.35</v>
      </c>
      <c r="E112" s="36">
        <f>$K$11*0.6*((0.6*3.1416*($C$111*0.0254)^2*D112^2)^(1/3))/9.81*1000</f>
        <v>1316.2406111257087</v>
      </c>
      <c r="F112" s="9" t="s">
        <v>326</v>
      </c>
      <c r="G112">
        <f>3010*(D112/100)^(1/3)</f>
        <v>3156.7415640220756</v>
      </c>
      <c r="H112" t="s">
        <v>349</v>
      </c>
    </row>
    <row r="113" spans="2:23">
      <c r="C113" t="s">
        <v>327</v>
      </c>
      <c r="D113">
        <v>87.76</v>
      </c>
      <c r="E113" t="s">
        <v>175</v>
      </c>
    </row>
    <row r="114" spans="2:23">
      <c r="G114" t="s">
        <v>403</v>
      </c>
    </row>
    <row r="115" spans="2:23">
      <c r="G115" t="s">
        <v>347</v>
      </c>
    </row>
    <row r="116" spans="2:23">
      <c r="G116" t="s">
        <v>348</v>
      </c>
      <c r="O116" s="147" t="s">
        <v>419</v>
      </c>
      <c r="U116" s="148">
        <v>126.67</v>
      </c>
      <c r="V116">
        <v>4</v>
      </c>
      <c r="W116" s="148">
        <f>U116*V116</f>
        <v>506.68</v>
      </c>
    </row>
    <row r="117" spans="2:23">
      <c r="G117">
        <f>G112*1.63^0.5</f>
        <v>4030.2578332285393</v>
      </c>
      <c r="H117" t="s">
        <v>349</v>
      </c>
      <c r="O117" s="147" t="s">
        <v>335</v>
      </c>
      <c r="U117" s="148">
        <v>13.12</v>
      </c>
      <c r="V117">
        <v>2</v>
      </c>
      <c r="W117" s="148">
        <f>U117*V117</f>
        <v>26.24</v>
      </c>
    </row>
    <row r="118" spans="2:23">
      <c r="G118" t="s">
        <v>350</v>
      </c>
      <c r="I118" s="4">
        <f>G117/22.2</f>
        <v>181.54314564092519</v>
      </c>
      <c r="J118" t="s">
        <v>351</v>
      </c>
      <c r="U118" t="s">
        <v>334</v>
      </c>
      <c r="W118" s="148">
        <f>W116+W117</f>
        <v>532.91999999999996</v>
      </c>
    </row>
    <row r="120" spans="2:23">
      <c r="G120" t="s">
        <v>416</v>
      </c>
      <c r="K120">
        <f>(D113-D112)/D113*100</f>
        <v>-31.438012762078383</v>
      </c>
      <c r="L120" t="s">
        <v>388</v>
      </c>
    </row>
    <row r="123" spans="2:23">
      <c r="C123" s="36" t="s">
        <v>328</v>
      </c>
    </row>
    <row r="124" spans="2:23">
      <c r="B124" s="2" t="s">
        <v>329</v>
      </c>
      <c r="C124" s="36">
        <v>5700</v>
      </c>
      <c r="D124" s="2"/>
      <c r="E124" s="2"/>
      <c r="F124" s="2"/>
    </row>
    <row r="125" spans="2:23">
      <c r="B125" s="9" t="s">
        <v>418</v>
      </c>
      <c r="C125" s="2">
        <f>C124/(16/13)^2</f>
        <v>3762.8906249999995</v>
      </c>
      <c r="D125" s="9" t="s">
        <v>234</v>
      </c>
      <c r="F125" s="9"/>
      <c r="J125" s="9"/>
    </row>
    <row r="126" spans="2:23">
      <c r="F126" s="9"/>
      <c r="H126" s="36"/>
      <c r="I126" s="9"/>
      <c r="J126" s="36"/>
    </row>
    <row r="127" spans="2:23">
      <c r="D127" s="2"/>
      <c r="E127" s="2"/>
      <c r="H127" s="36"/>
      <c r="I127" s="36"/>
      <c r="J127" s="36"/>
      <c r="K127" s="36"/>
      <c r="L127" s="36"/>
    </row>
    <row r="128" spans="2:23">
      <c r="B128" s="5" t="s">
        <v>236</v>
      </c>
      <c r="C128" s="5">
        <v>18</v>
      </c>
      <c r="D128" s="2" t="s">
        <v>24</v>
      </c>
      <c r="E128" s="2" t="s">
        <v>25</v>
      </c>
      <c r="G128" t="s">
        <v>402</v>
      </c>
    </row>
    <row r="129" spans="2:23">
      <c r="B129" s="5" t="s">
        <v>325</v>
      </c>
      <c r="C129" s="5">
        <v>4</v>
      </c>
      <c r="D129" s="38">
        <v>102.51</v>
      </c>
      <c r="E129" s="36">
        <f>$K$11*0.6*((0.6*3.1416*($C$128*0.0254)^2*D129^2)^(1/3))/9.81*1000</f>
        <v>1316.0409138181606</v>
      </c>
      <c r="F129" s="9" t="s">
        <v>326</v>
      </c>
      <c r="G129">
        <f>3010*(D129/100)^(1/3)</f>
        <v>3034.9758531860557</v>
      </c>
      <c r="H129" t="s">
        <v>349</v>
      </c>
    </row>
    <row r="130" spans="2:23">
      <c r="C130" t="s">
        <v>327</v>
      </c>
      <c r="D130">
        <v>87.76</v>
      </c>
      <c r="E130" t="s">
        <v>175</v>
      </c>
      <c r="O130" s="147" t="s">
        <v>419</v>
      </c>
      <c r="U130" s="148">
        <v>126.67</v>
      </c>
      <c r="V130">
        <v>4</v>
      </c>
      <c r="W130" s="148">
        <f>U130*V130</f>
        <v>506.68</v>
      </c>
    </row>
    <row r="131" spans="2:23">
      <c r="G131" t="s">
        <v>403</v>
      </c>
      <c r="O131" s="147" t="s">
        <v>333</v>
      </c>
      <c r="U131" s="148">
        <v>21.51</v>
      </c>
      <c r="V131">
        <v>2</v>
      </c>
      <c r="W131" s="148">
        <f>U131*V131</f>
        <v>43.02</v>
      </c>
    </row>
    <row r="132" spans="2:23">
      <c r="G132" t="s">
        <v>347</v>
      </c>
      <c r="U132" t="s">
        <v>334</v>
      </c>
      <c r="W132" s="148">
        <f>W130+W131</f>
        <v>549.70000000000005</v>
      </c>
    </row>
    <row r="133" spans="2:23">
      <c r="G133" t="s">
        <v>348</v>
      </c>
    </row>
    <row r="134" spans="2:23">
      <c r="G134">
        <f>G129*1.63^0.5</f>
        <v>3874.7977805246242</v>
      </c>
      <c r="H134" t="s">
        <v>349</v>
      </c>
    </row>
    <row r="135" spans="2:23">
      <c r="G135" t="s">
        <v>350</v>
      </c>
      <c r="I135" s="4">
        <f>G134/22.2</f>
        <v>174.54044056417226</v>
      </c>
      <c r="J135" t="s">
        <v>351</v>
      </c>
    </row>
    <row r="137" spans="2:23">
      <c r="G137" t="s">
        <v>416</v>
      </c>
      <c r="K137">
        <f>(D130-D129)/D130*100</f>
        <v>-16.807201458523245</v>
      </c>
      <c r="L137" t="s">
        <v>388</v>
      </c>
    </row>
  </sheetData>
  <mergeCells count="2">
    <mergeCell ref="O9:P9"/>
    <mergeCell ref="U45:V45"/>
  </mergeCells>
  <phoneticPr fontId="12" type="noConversion"/>
  <hyperlinks>
    <hyperlink ref="O130" r:id="rId1"/>
    <hyperlink ref="O131" r:id="rId2"/>
    <hyperlink ref="O117" r:id="rId3"/>
    <hyperlink ref="O116" r:id="rId4"/>
    <hyperlink ref="O98" r:id="rId5"/>
    <hyperlink ref="O99" r:id="rId6"/>
  </hyperlinks>
  <pageMargins left="0.75" right="0.75" top="1" bottom="1" header="0.5" footer="0.5"/>
  <drawing r:id="rId7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J189"/>
  <sheetViews>
    <sheetView workbookViewId="0">
      <selection activeCell="H63" sqref="H63"/>
    </sheetView>
  </sheetViews>
  <sheetFormatPr baseColWidth="10" defaultRowHeight="15"/>
  <cols>
    <col min="6" max="6" width="10.6640625" customWidth="1"/>
    <col min="16" max="16" width="11.83203125" customWidth="1"/>
  </cols>
  <sheetData>
    <row r="1" spans="5:36">
      <c r="E1" s="152" t="s">
        <v>29</v>
      </c>
      <c r="F1" s="90"/>
      <c r="G1" s="90"/>
      <c r="H1" s="90"/>
      <c r="I1" s="136" t="s">
        <v>240</v>
      </c>
      <c r="J1" s="136"/>
      <c r="K1" s="91"/>
    </row>
    <row r="2" spans="5:36">
      <c r="E2" s="134" t="s">
        <v>311</v>
      </c>
      <c r="F2" s="67"/>
      <c r="G2" s="67"/>
      <c r="H2" s="67"/>
      <c r="I2" s="67">
        <v>6000</v>
      </c>
      <c r="J2" s="67">
        <v>481</v>
      </c>
      <c r="K2" s="74" t="s">
        <v>37</v>
      </c>
    </row>
    <row r="3" spans="5:36">
      <c r="E3" s="73"/>
      <c r="F3" s="67"/>
      <c r="G3" s="67"/>
      <c r="H3" s="67"/>
      <c r="I3" s="67"/>
      <c r="J3" s="67"/>
      <c r="K3" s="74"/>
      <c r="AC3" s="161" t="s">
        <v>150</v>
      </c>
      <c r="AD3" s="151"/>
    </row>
    <row r="4" spans="5:36">
      <c r="E4" s="134" t="s">
        <v>354</v>
      </c>
      <c r="F4" s="67"/>
      <c r="G4" s="67"/>
      <c r="H4" s="67"/>
      <c r="I4" s="67">
        <v>2500</v>
      </c>
      <c r="J4" s="67">
        <v>246</v>
      </c>
      <c r="K4" s="74"/>
      <c r="AC4" s="133" t="s">
        <v>151</v>
      </c>
      <c r="AD4" s="71"/>
      <c r="AE4" s="71"/>
      <c r="AF4" s="71"/>
      <c r="AG4" s="71">
        <v>815</v>
      </c>
      <c r="AH4" s="72" t="s">
        <v>5</v>
      </c>
    </row>
    <row r="5" spans="5:36">
      <c r="E5" s="134" t="s">
        <v>355</v>
      </c>
      <c r="F5" s="67"/>
      <c r="G5" s="67"/>
      <c r="H5" s="67"/>
      <c r="I5" s="67">
        <v>3700</v>
      </c>
      <c r="J5" s="67">
        <v>366</v>
      </c>
      <c r="K5" s="74"/>
      <c r="AC5" s="73" t="s">
        <v>3</v>
      </c>
      <c r="AD5" s="67" t="s">
        <v>148</v>
      </c>
      <c r="AE5" s="67"/>
      <c r="AF5" s="67"/>
      <c r="AG5" s="67">
        <v>39</v>
      </c>
      <c r="AH5" s="74" t="s">
        <v>5</v>
      </c>
    </row>
    <row r="6" spans="5:36">
      <c r="E6" s="134" t="s">
        <v>356</v>
      </c>
      <c r="F6" s="67"/>
      <c r="G6" s="67"/>
      <c r="H6" s="67"/>
      <c r="I6" s="9">
        <v>4000</v>
      </c>
      <c r="J6" s="67">
        <v>437</v>
      </c>
      <c r="K6" s="74"/>
      <c r="AC6" s="75" t="s">
        <v>4</v>
      </c>
      <c r="AD6" s="76" t="s">
        <v>147</v>
      </c>
      <c r="AE6" s="76"/>
      <c r="AF6" s="76"/>
      <c r="AG6" s="76">
        <v>18</v>
      </c>
      <c r="AH6" s="77" t="s">
        <v>5</v>
      </c>
    </row>
    <row r="7" spans="5:36">
      <c r="E7" s="134" t="s">
        <v>309</v>
      </c>
      <c r="F7" s="67"/>
      <c r="G7" s="67"/>
      <c r="H7" s="67"/>
      <c r="I7" s="9">
        <v>5800</v>
      </c>
      <c r="J7" s="67">
        <v>624</v>
      </c>
      <c r="K7" s="74" t="s">
        <v>37</v>
      </c>
      <c r="AC7" s="71"/>
      <c r="AD7" s="71"/>
      <c r="AE7" s="72"/>
      <c r="AF7" s="161" t="s">
        <v>149</v>
      </c>
      <c r="AG7" s="150">
        <f>SUM(AG4:AG6)</f>
        <v>872</v>
      </c>
      <c r="AH7" s="151" t="s">
        <v>5</v>
      </c>
    </row>
    <row r="8" spans="5:36">
      <c r="E8" s="73"/>
      <c r="F8" s="67"/>
      <c r="G8" s="67"/>
      <c r="H8" s="67"/>
      <c r="I8" s="67"/>
      <c r="J8" s="67"/>
      <c r="K8" s="74"/>
    </row>
    <row r="9" spans="5:36">
      <c r="E9" s="134" t="s">
        <v>267</v>
      </c>
      <c r="F9" s="67"/>
      <c r="G9" s="67"/>
      <c r="H9" s="67"/>
      <c r="I9" s="9">
        <v>5800</v>
      </c>
      <c r="J9" s="67">
        <v>655</v>
      </c>
      <c r="K9" s="74" t="s">
        <v>37</v>
      </c>
    </row>
    <row r="10" spans="5:36">
      <c r="E10" s="134" t="s">
        <v>308</v>
      </c>
      <c r="F10" s="67"/>
      <c r="G10" s="67"/>
      <c r="H10" s="67"/>
      <c r="I10" s="9">
        <v>8000</v>
      </c>
      <c r="J10" s="67">
        <v>924</v>
      </c>
      <c r="K10" s="74" t="s">
        <v>37</v>
      </c>
      <c r="AC10" s="136" t="s">
        <v>30</v>
      </c>
      <c r="AD10" s="153" t="str">
        <f>E19</f>
        <v>Turnigy nano-tech 8000mAh 6S 25~50C Lipo Pack</v>
      </c>
      <c r="AE10" s="150"/>
      <c r="AF10" s="150"/>
      <c r="AG10" s="150"/>
      <c r="AH10" s="150">
        <f>I19</f>
        <v>8000</v>
      </c>
      <c r="AI10" s="150">
        <f>J19</f>
        <v>1105</v>
      </c>
      <c r="AJ10" s="151" t="s">
        <v>130</v>
      </c>
    </row>
    <row r="11" spans="5:36">
      <c r="E11" s="73"/>
      <c r="F11" s="67"/>
      <c r="G11" s="67"/>
      <c r="H11" s="67"/>
      <c r="I11" s="67"/>
      <c r="J11" s="67"/>
      <c r="K11" s="74"/>
    </row>
    <row r="12" spans="5:36">
      <c r="E12" s="134" t="s">
        <v>315</v>
      </c>
      <c r="F12" s="67"/>
      <c r="G12" s="67"/>
      <c r="H12" s="67"/>
      <c r="I12" s="9">
        <v>2650</v>
      </c>
      <c r="J12" s="67">
        <v>376</v>
      </c>
      <c r="K12" s="74" t="s">
        <v>37</v>
      </c>
      <c r="AD12" s="155"/>
      <c r="AE12" s="71"/>
      <c r="AF12" s="12" t="s">
        <v>197</v>
      </c>
      <c r="AG12" s="12" t="s">
        <v>198</v>
      </c>
      <c r="AH12" s="71"/>
      <c r="AI12" s="72"/>
    </row>
    <row r="13" spans="5:36">
      <c r="E13" s="134" t="s">
        <v>316</v>
      </c>
      <c r="F13" s="67"/>
      <c r="G13" s="67"/>
      <c r="H13" s="67"/>
      <c r="I13" s="9">
        <v>3000</v>
      </c>
      <c r="J13" s="67">
        <v>429</v>
      </c>
      <c r="K13" s="74" t="s">
        <v>37</v>
      </c>
      <c r="AD13" s="44" t="s">
        <v>196</v>
      </c>
      <c r="AE13" s="67"/>
      <c r="AF13" s="67">
        <f>AG7+AF15+(6*(AF14+AF16))</f>
        <v>2685</v>
      </c>
      <c r="AG13" s="9">
        <f>AF13+1200</f>
        <v>3885</v>
      </c>
      <c r="AH13" s="67"/>
      <c r="AI13" s="74"/>
    </row>
    <row r="14" spans="5:36">
      <c r="E14" s="134" t="s">
        <v>312</v>
      </c>
      <c r="F14" s="67"/>
      <c r="G14" s="67"/>
      <c r="H14" s="67"/>
      <c r="I14" s="9">
        <v>3300</v>
      </c>
      <c r="J14" s="67">
        <v>489</v>
      </c>
      <c r="K14" s="74" t="s">
        <v>37</v>
      </c>
      <c r="AD14" s="44" t="s">
        <v>50</v>
      </c>
      <c r="AE14" s="67"/>
      <c r="AF14" s="9">
        <v>85</v>
      </c>
      <c r="AG14" s="9"/>
      <c r="AH14" s="67"/>
      <c r="AI14" s="74"/>
    </row>
    <row r="15" spans="5:36">
      <c r="E15" s="134" t="s">
        <v>353</v>
      </c>
      <c r="F15" s="67"/>
      <c r="G15" s="67"/>
      <c r="H15" s="67"/>
      <c r="I15" s="9">
        <v>4000</v>
      </c>
      <c r="J15" s="67">
        <v>650</v>
      </c>
      <c r="K15" s="74" t="s">
        <v>37</v>
      </c>
      <c r="AD15" s="134" t="s">
        <v>200</v>
      </c>
      <c r="AE15" s="67"/>
      <c r="AF15" s="67">
        <f>AI10</f>
        <v>1105</v>
      </c>
      <c r="AG15" s="67">
        <v>22.2</v>
      </c>
      <c r="AH15" s="67" t="s">
        <v>341</v>
      </c>
      <c r="AI15" s="74"/>
    </row>
    <row r="16" spans="5:36">
      <c r="E16" s="134" t="s">
        <v>131</v>
      </c>
      <c r="F16" s="67"/>
      <c r="G16" s="67"/>
      <c r="H16" s="67"/>
      <c r="I16" s="9">
        <v>5800</v>
      </c>
      <c r="J16" s="67">
        <v>843</v>
      </c>
      <c r="K16" s="74" t="s">
        <v>37</v>
      </c>
      <c r="AD16" s="134" t="s">
        <v>146</v>
      </c>
      <c r="AE16" s="67"/>
      <c r="AF16" s="67">
        <v>33</v>
      </c>
      <c r="AG16" s="67"/>
      <c r="AH16" s="67"/>
      <c r="AI16" s="74"/>
    </row>
    <row r="17" spans="5:36">
      <c r="E17" s="134" t="s">
        <v>132</v>
      </c>
      <c r="F17" s="67"/>
      <c r="G17" s="67"/>
      <c r="H17" s="67"/>
      <c r="I17" s="9">
        <v>6000</v>
      </c>
      <c r="J17" s="67">
        <v>908</v>
      </c>
      <c r="K17" s="74" t="s">
        <v>37</v>
      </c>
      <c r="AD17" s="44" t="s">
        <v>51</v>
      </c>
      <c r="AE17" s="67"/>
      <c r="AF17" s="9">
        <f>AF13/4</f>
        <v>671.25</v>
      </c>
      <c r="AG17" s="9">
        <f>AF17+(1200/4)</f>
        <v>971.25</v>
      </c>
      <c r="AH17" s="67">
        <f>AG13*1.63/4</f>
        <v>1583.1374999999998</v>
      </c>
      <c r="AI17" s="74" t="s">
        <v>410</v>
      </c>
    </row>
    <row r="18" spans="5:36">
      <c r="E18" s="134" t="s">
        <v>307</v>
      </c>
      <c r="F18" s="67"/>
      <c r="G18" s="67"/>
      <c r="H18" s="67"/>
      <c r="I18" s="9">
        <v>5800</v>
      </c>
      <c r="J18" s="67">
        <v>929</v>
      </c>
      <c r="K18" s="74" t="s">
        <v>37</v>
      </c>
      <c r="AD18" s="156" t="s">
        <v>152</v>
      </c>
      <c r="AE18" s="76"/>
      <c r="AF18" s="136">
        <f>AH10</f>
        <v>8000</v>
      </c>
      <c r="AG18" s="76" t="s">
        <v>240</v>
      </c>
      <c r="AH18" s="76"/>
      <c r="AI18" s="77"/>
    </row>
    <row r="19" spans="5:36" ht="16">
      <c r="E19" s="135" t="s">
        <v>54</v>
      </c>
      <c r="F19" s="76"/>
      <c r="G19" s="76"/>
      <c r="H19" s="76"/>
      <c r="I19" s="76">
        <v>8000</v>
      </c>
      <c r="J19" s="17">
        <v>1105</v>
      </c>
      <c r="K19" s="77" t="s">
        <v>37</v>
      </c>
      <c r="AD19" s="82" t="s">
        <v>230</v>
      </c>
      <c r="AE19" s="83"/>
      <c r="AF19" s="83"/>
      <c r="AG19" s="83"/>
      <c r="AH19" s="83"/>
      <c r="AI19" s="83"/>
      <c r="AJ19" s="84"/>
    </row>
    <row r="20" spans="5:36" ht="16">
      <c r="E20" s="167" t="s">
        <v>305</v>
      </c>
      <c r="I20" s="9">
        <v>10000</v>
      </c>
      <c r="J20">
        <f>4*442</f>
        <v>1768</v>
      </c>
      <c r="K20" s="15" t="s">
        <v>306</v>
      </c>
      <c r="AD20" s="126" t="str">
        <f>AD10</f>
        <v>Turnigy nano-tech 8000mAh 6S 25~50C Lipo Pack</v>
      </c>
      <c r="AE20" s="123"/>
      <c r="AF20" s="123"/>
      <c r="AG20" s="123"/>
      <c r="AH20" s="86"/>
      <c r="AI20" s="86"/>
      <c r="AJ20" s="87"/>
    </row>
    <row r="21" spans="5:36">
      <c r="E21" s="166" t="s">
        <v>7</v>
      </c>
      <c r="I21">
        <v>9000</v>
      </c>
      <c r="J21">
        <f>4*391</f>
        <v>1564</v>
      </c>
      <c r="K21" t="s">
        <v>6</v>
      </c>
      <c r="AD21" s="11" t="s">
        <v>341</v>
      </c>
      <c r="AE21" s="12" t="s">
        <v>428</v>
      </c>
      <c r="AF21" s="12" t="s">
        <v>112</v>
      </c>
      <c r="AG21" s="157" t="s">
        <v>118</v>
      </c>
      <c r="AH21" s="71" t="s">
        <v>201</v>
      </c>
      <c r="AI21" s="71">
        <f>AI10</f>
        <v>1105</v>
      </c>
      <c r="AJ21" s="72" t="s">
        <v>130</v>
      </c>
    </row>
    <row r="22" spans="5:36">
      <c r="E22" s="167" t="s">
        <v>173</v>
      </c>
      <c r="I22">
        <v>8400</v>
      </c>
      <c r="J22">
        <f>2*641</f>
        <v>1282</v>
      </c>
      <c r="K22" t="s">
        <v>5</v>
      </c>
      <c r="AD22" s="158">
        <f>E189</f>
        <v>21.400000000000201</v>
      </c>
      <c r="AE22" s="159">
        <f>D189</f>
        <v>1588.6023067590224</v>
      </c>
      <c r="AF22" s="129">
        <f>L189</f>
        <v>7.3333140000665873</v>
      </c>
      <c r="AG22" s="159">
        <f>O189*4/6</f>
        <v>5.1369129860592952</v>
      </c>
      <c r="AH22" s="67"/>
      <c r="AI22" s="67">
        <f>AH10/4000</f>
        <v>2</v>
      </c>
      <c r="AJ22" s="132" t="s">
        <v>394</v>
      </c>
    </row>
    <row r="23" spans="5:36">
      <c r="AD23" s="14">
        <f>INDEX(D77:O189,MATCH(AH17,D77:D189,1)+1,2)</f>
        <v>21.400000000000201</v>
      </c>
      <c r="AE23" s="42">
        <f>INDEX(D77:O189,MATCH(AH17,D77:D189,1)+1,1)</f>
        <v>1588.6023067590224</v>
      </c>
      <c r="AF23" s="67">
        <f>INDEX(D77:O189,MATCH(AH17,D77:D189,1)+1,9)</f>
        <v>7.3333140000665873</v>
      </c>
      <c r="AG23" s="42">
        <f>INDEX(D77:O189,MATCH(AH17,D77:D189,1)+1,12)*4/6</f>
        <v>5.1369129860592952</v>
      </c>
      <c r="AH23" s="67"/>
      <c r="AI23" s="67"/>
      <c r="AJ23" s="74"/>
    </row>
    <row r="24" spans="5:36">
      <c r="E24" s="149" t="s">
        <v>28</v>
      </c>
      <c r="AD24" s="14">
        <f>INDEX(D77:O189,MATCH(AG17,D77:D189,1)+1,2)</f>
        <v>16.400000000000102</v>
      </c>
      <c r="AE24" s="42">
        <f>INDEX(D77:O189,MATCH(AG17,D77:D189,1)+1,1)</f>
        <v>978.12534879516136</v>
      </c>
      <c r="AF24" s="67">
        <f>INDEX(D77:O189,MATCH(AG17,D77:D189,1)+1,9)</f>
        <v>9.4525200098446156</v>
      </c>
      <c r="AG24" s="42">
        <f>INDEX(D77:O189,MATCH(AG17,D77:D189,1)+1,12)*4/6</f>
        <v>8.2413865199640099</v>
      </c>
      <c r="AH24" s="67"/>
      <c r="AI24" s="67"/>
      <c r="AJ24" s="74"/>
    </row>
    <row r="25" spans="5:36">
      <c r="E25" s="149" t="s">
        <v>172</v>
      </c>
      <c r="K25" t="s">
        <v>27</v>
      </c>
      <c r="AD25" s="16">
        <f>INDEX(D63:O189,MATCH(AF17,D63:D189,1)+1,2)</f>
        <v>13.4</v>
      </c>
      <c r="AE25" s="43">
        <f>INDEX(D63:O189,MATCH(AF17,D63:D189,1)+1,1)</f>
        <v>672.5875857895569</v>
      </c>
      <c r="AF25" s="76">
        <f>INDEX(D63:O189,MATCH(AF17,D63:D189,1)+1,9)</f>
        <v>11.404537864934092</v>
      </c>
      <c r="AG25" s="43">
        <f>INDEX(D63:O189,MATCH(AF17,D63:D189,1)+1,12)*4/6</f>
        <v>11.815088699499844</v>
      </c>
      <c r="AH25" s="76"/>
      <c r="AI25" s="76"/>
      <c r="AJ25" s="77"/>
    </row>
    <row r="26" spans="5:36">
      <c r="E26" s="149"/>
    </row>
    <row r="27" spans="5:36">
      <c r="E27" s="149" t="s">
        <v>300</v>
      </c>
      <c r="K27" t="s">
        <v>301</v>
      </c>
    </row>
    <row r="28" spans="5:36">
      <c r="E28" s="149" t="s">
        <v>171</v>
      </c>
      <c r="K28" t="s">
        <v>15</v>
      </c>
    </row>
    <row r="31" spans="5:36" ht="18">
      <c r="E31" s="160" t="s">
        <v>371</v>
      </c>
      <c r="F31" s="71"/>
      <c r="G31" s="71"/>
      <c r="H31" s="71"/>
      <c r="I31" s="71"/>
      <c r="J31" s="72"/>
    </row>
    <row r="32" spans="5:36">
      <c r="E32" s="73" t="s">
        <v>49</v>
      </c>
      <c r="F32" s="105" t="s">
        <v>372</v>
      </c>
      <c r="G32" s="67"/>
      <c r="H32" s="67"/>
      <c r="I32" s="67">
        <f>'machine perso'!Q57</f>
        <v>392.27316433079335</v>
      </c>
      <c r="J32" s="74" t="s">
        <v>5</v>
      </c>
    </row>
    <row r="33" spans="1:35">
      <c r="E33" s="73" t="s">
        <v>3</v>
      </c>
      <c r="F33" s="67" t="s">
        <v>148</v>
      </c>
      <c r="G33" s="67"/>
      <c r="H33" s="67"/>
      <c r="I33" s="67">
        <v>39</v>
      </c>
      <c r="J33" s="74" t="s">
        <v>5</v>
      </c>
    </row>
    <row r="34" spans="1:35">
      <c r="E34" s="73" t="s">
        <v>4</v>
      </c>
      <c r="F34" s="67" t="s">
        <v>147</v>
      </c>
      <c r="G34" s="67"/>
      <c r="H34" s="67"/>
      <c r="I34" s="67">
        <v>18</v>
      </c>
      <c r="J34" s="74" t="s">
        <v>5</v>
      </c>
    </row>
    <row r="35" spans="1:35">
      <c r="D35" s="67"/>
      <c r="E35" s="71"/>
      <c r="F35" s="71"/>
      <c r="G35" s="72"/>
      <c r="H35" s="161" t="s">
        <v>149</v>
      </c>
      <c r="I35" s="150">
        <f>SUM(I32:I34)</f>
        <v>449.27316433079335</v>
      </c>
      <c r="J35" s="151" t="s">
        <v>5</v>
      </c>
    </row>
    <row r="36" spans="1:35">
      <c r="E36" s="67"/>
      <c r="F36" s="67"/>
      <c r="G36" s="67"/>
    </row>
    <row r="38" spans="1:35" ht="17" customHeight="1"/>
    <row r="40" spans="1:35">
      <c r="A40" s="136" t="s">
        <v>30</v>
      </c>
      <c r="B40" s="153" t="str">
        <f>E19</f>
        <v>Turnigy nano-tech 8000mAh 6S 25~50C Lipo Pack</v>
      </c>
      <c r="C40" s="150"/>
      <c r="D40" s="150"/>
      <c r="E40" s="150"/>
      <c r="F40" s="150">
        <f>I19</f>
        <v>8000</v>
      </c>
      <c r="G40" s="154">
        <f>J19</f>
        <v>1105</v>
      </c>
      <c r="H40" s="151" t="s">
        <v>37</v>
      </c>
      <c r="J40" s="136" t="s">
        <v>30</v>
      </c>
      <c r="K40" s="153" t="str">
        <f>E17</f>
        <v>Turnigy nano-tech 6000mah 6S 25~50C</v>
      </c>
      <c r="L40" s="150"/>
      <c r="M40" s="150"/>
      <c r="N40" s="150"/>
      <c r="O40" s="150">
        <f>I17</f>
        <v>6000</v>
      </c>
      <c r="P40" s="150">
        <f>J17</f>
        <v>908</v>
      </c>
      <c r="Q40" s="151" t="s">
        <v>37</v>
      </c>
      <c r="S40" s="136" t="s">
        <v>30</v>
      </c>
      <c r="T40" s="153" t="str">
        <f>E14</f>
        <v>Turnigy nano-tech 3300mah 6S 25~50C</v>
      </c>
      <c r="U40" s="150"/>
      <c r="V40" s="150"/>
      <c r="W40" s="150"/>
      <c r="X40" s="150">
        <f>I14</f>
        <v>3300</v>
      </c>
      <c r="Y40" s="150">
        <f>J14</f>
        <v>489</v>
      </c>
      <c r="Z40" s="151" t="s">
        <v>37</v>
      </c>
      <c r="AB40" s="136" t="s">
        <v>30</v>
      </c>
      <c r="AC40" s="153" t="str">
        <f>E12</f>
        <v>ZIPPY Flightmax 2650mAh 6S1P 20C</v>
      </c>
      <c r="AD40" s="150"/>
      <c r="AE40" s="150"/>
      <c r="AF40" s="150"/>
      <c r="AG40" s="150">
        <f>I12</f>
        <v>2650</v>
      </c>
      <c r="AH40" s="150">
        <f>J12</f>
        <v>376</v>
      </c>
      <c r="AI40" s="151" t="s">
        <v>37</v>
      </c>
    </row>
    <row r="42" spans="1:35">
      <c r="B42" s="155"/>
      <c r="C42" s="71"/>
      <c r="D42" s="12" t="s">
        <v>197</v>
      </c>
      <c r="E42" s="12" t="s">
        <v>198</v>
      </c>
      <c r="F42" s="71"/>
      <c r="G42" s="72"/>
      <c r="K42" s="155"/>
      <c r="L42" s="71"/>
      <c r="M42" s="12" t="s">
        <v>197</v>
      </c>
      <c r="N42" s="12" t="s">
        <v>198</v>
      </c>
      <c r="O42" s="71"/>
      <c r="P42" s="72"/>
      <c r="T42" s="155"/>
      <c r="U42" s="71"/>
      <c r="V42" s="12" t="s">
        <v>197</v>
      </c>
      <c r="W42" s="12" t="s">
        <v>198</v>
      </c>
      <c r="X42" s="71"/>
      <c r="Y42" s="72"/>
      <c r="AC42" s="155"/>
      <c r="AD42" s="71"/>
      <c r="AE42" s="12" t="s">
        <v>197</v>
      </c>
      <c r="AF42" s="12" t="s">
        <v>198</v>
      </c>
      <c r="AG42" s="71"/>
      <c r="AH42" s="72"/>
    </row>
    <row r="43" spans="1:35">
      <c r="B43" s="44" t="s">
        <v>196</v>
      </c>
      <c r="C43" s="67"/>
      <c r="D43" s="67">
        <f>I35+D45+(4*(D44+D46))</f>
        <v>2026.2731643307934</v>
      </c>
      <c r="E43" s="9">
        <f>D43+1200</f>
        <v>3226.2731643307934</v>
      </c>
      <c r="F43" s="67"/>
      <c r="G43" s="74"/>
      <c r="K43" s="44" t="s">
        <v>196</v>
      </c>
      <c r="L43" s="67"/>
      <c r="M43" s="67">
        <f>I35+M45+(4*(M44+M46))</f>
        <v>1829.2731643307934</v>
      </c>
      <c r="N43" s="9">
        <f>M43+1200</f>
        <v>3029.2731643307934</v>
      </c>
      <c r="O43" s="67"/>
      <c r="P43" s="74"/>
      <c r="T43" s="44" t="s">
        <v>196</v>
      </c>
      <c r="U43" s="67"/>
      <c r="V43" s="67">
        <f>I35+V45+(4*(V44+V46))</f>
        <v>1410.2731643307934</v>
      </c>
      <c r="W43" s="9">
        <f>V43+1200</f>
        <v>2610.2731643307934</v>
      </c>
      <c r="X43" s="67"/>
      <c r="Y43" s="74"/>
      <c r="AC43" s="44" t="s">
        <v>196</v>
      </c>
      <c r="AD43" s="67"/>
      <c r="AE43" s="67">
        <f>I35+AE45+(4*(AE44+AE46))</f>
        <v>1297.2731643307934</v>
      </c>
      <c r="AF43" s="9">
        <f>AE43+1200</f>
        <v>2497.2731643307934</v>
      </c>
      <c r="AG43" s="67"/>
      <c r="AH43" s="74"/>
    </row>
    <row r="44" spans="1:35">
      <c r="B44" s="44" t="s">
        <v>50</v>
      </c>
      <c r="C44" s="67"/>
      <c r="D44" s="9">
        <v>85</v>
      </c>
      <c r="E44" s="9"/>
      <c r="F44" s="67"/>
      <c r="G44" s="74"/>
      <c r="K44" s="44" t="s">
        <v>50</v>
      </c>
      <c r="L44" s="67"/>
      <c r="M44" s="9">
        <v>85</v>
      </c>
      <c r="N44" s="9"/>
      <c r="O44" s="67"/>
      <c r="P44" s="74"/>
      <c r="T44" s="44" t="s">
        <v>50</v>
      </c>
      <c r="U44" s="67"/>
      <c r="V44" s="9">
        <v>85</v>
      </c>
      <c r="W44" s="9"/>
      <c r="X44" s="67"/>
      <c r="Y44" s="74"/>
      <c r="AC44" s="44" t="s">
        <v>50</v>
      </c>
      <c r="AD44" s="67"/>
      <c r="AE44" s="9">
        <v>85</v>
      </c>
      <c r="AF44" s="9"/>
      <c r="AG44" s="67"/>
      <c r="AH44" s="74"/>
    </row>
    <row r="45" spans="1:35">
      <c r="B45" s="134" t="s">
        <v>200</v>
      </c>
      <c r="C45" s="67"/>
      <c r="D45" s="67">
        <f>G40</f>
        <v>1105</v>
      </c>
      <c r="E45" s="67">
        <v>22.2</v>
      </c>
      <c r="F45" s="67" t="s">
        <v>341</v>
      </c>
      <c r="G45" s="74"/>
      <c r="K45" s="134" t="s">
        <v>200</v>
      </c>
      <c r="L45" s="67"/>
      <c r="M45" s="67">
        <f>P40</f>
        <v>908</v>
      </c>
      <c r="N45" s="67">
        <v>22.2</v>
      </c>
      <c r="O45" s="67" t="s">
        <v>341</v>
      </c>
      <c r="P45" s="74"/>
      <c r="T45" s="134" t="s">
        <v>200</v>
      </c>
      <c r="U45" s="67"/>
      <c r="V45" s="67">
        <f>Y40</f>
        <v>489</v>
      </c>
      <c r="W45" s="67">
        <v>22.2</v>
      </c>
      <c r="X45" s="67" t="s">
        <v>341</v>
      </c>
      <c r="Y45" s="74"/>
      <c r="AC45" s="134" t="s">
        <v>200</v>
      </c>
      <c r="AD45" s="67"/>
      <c r="AE45" s="67">
        <f>AH40</f>
        <v>376</v>
      </c>
      <c r="AF45" s="67">
        <v>22.2</v>
      </c>
      <c r="AG45" s="67" t="s">
        <v>341</v>
      </c>
      <c r="AH45" s="74"/>
    </row>
    <row r="46" spans="1:35">
      <c r="B46" s="134" t="s">
        <v>146</v>
      </c>
      <c r="C46" s="67"/>
      <c r="D46" s="67">
        <v>33</v>
      </c>
      <c r="E46" s="67"/>
      <c r="F46" s="67"/>
      <c r="G46" s="74"/>
      <c r="K46" s="134" t="s">
        <v>172</v>
      </c>
      <c r="L46" s="67"/>
      <c r="M46" s="67">
        <v>33</v>
      </c>
      <c r="N46" s="67"/>
      <c r="O46" s="67"/>
      <c r="P46" s="74"/>
      <c r="T46" s="134" t="s">
        <v>146</v>
      </c>
      <c r="U46" s="67"/>
      <c r="V46" s="67">
        <v>33</v>
      </c>
      <c r="W46" s="67"/>
      <c r="X46" s="67"/>
      <c r="Y46" s="74"/>
      <c r="AC46" s="134" t="s">
        <v>146</v>
      </c>
      <c r="AD46" s="67"/>
      <c r="AE46" s="67">
        <v>33</v>
      </c>
      <c r="AF46" s="67"/>
      <c r="AG46" s="67"/>
      <c r="AH46" s="74"/>
    </row>
    <row r="47" spans="1:35">
      <c r="B47" s="44" t="s">
        <v>51</v>
      </c>
      <c r="C47" s="67"/>
      <c r="D47" s="9">
        <f>D43/4</f>
        <v>506.56829108269835</v>
      </c>
      <c r="E47" s="9">
        <f>D47+(1200/4)</f>
        <v>806.56829108269835</v>
      </c>
      <c r="F47" s="67">
        <f>E43*1.63/4</f>
        <v>1314.7063144647982</v>
      </c>
      <c r="G47" s="74" t="s">
        <v>410</v>
      </c>
      <c r="K47" s="44" t="s">
        <v>51</v>
      </c>
      <c r="L47" s="67"/>
      <c r="M47" s="9">
        <f>M43/4</f>
        <v>457.31829108269835</v>
      </c>
      <c r="N47" s="9">
        <f>M47+(1200/4)</f>
        <v>757.31829108269835</v>
      </c>
      <c r="O47" s="67">
        <f>N43*1.63/4</f>
        <v>1234.4288144647983</v>
      </c>
      <c r="P47" s="74" t="s">
        <v>410</v>
      </c>
      <c r="T47" s="44" t="s">
        <v>51</v>
      </c>
      <c r="U47" s="67"/>
      <c r="V47" s="9">
        <f>V43/4</f>
        <v>352.56829108269835</v>
      </c>
      <c r="W47" s="9">
        <f>V47+(1200/4)</f>
        <v>652.56829108269835</v>
      </c>
      <c r="X47" s="67">
        <f>W43*1.63/4</f>
        <v>1063.6863144647982</v>
      </c>
      <c r="Y47" s="74" t="s">
        <v>410</v>
      </c>
      <c r="AC47" s="44" t="s">
        <v>51</v>
      </c>
      <c r="AD47" s="67"/>
      <c r="AE47" s="9">
        <f>AE43/4</f>
        <v>324.31829108269835</v>
      </c>
      <c r="AF47" s="9">
        <f>AE47+(1200/4)</f>
        <v>624.31829108269835</v>
      </c>
      <c r="AG47" s="67">
        <f>AF43*1.63/4</f>
        <v>1017.6388144647982</v>
      </c>
      <c r="AH47" s="74" t="s">
        <v>410</v>
      </c>
    </row>
    <row r="48" spans="1:35">
      <c r="B48" s="156" t="s">
        <v>152</v>
      </c>
      <c r="C48" s="76"/>
      <c r="D48" s="136">
        <f>F40</f>
        <v>8000</v>
      </c>
      <c r="E48" s="76" t="s">
        <v>53</v>
      </c>
      <c r="F48" s="76"/>
      <c r="G48" s="77"/>
      <c r="K48" s="156" t="s">
        <v>152</v>
      </c>
      <c r="L48" s="76"/>
      <c r="M48" s="136">
        <f>O40</f>
        <v>6000</v>
      </c>
      <c r="N48" s="76" t="s">
        <v>53</v>
      </c>
      <c r="O48" s="76"/>
      <c r="P48" s="77"/>
      <c r="T48" s="156" t="s">
        <v>152</v>
      </c>
      <c r="U48" s="76"/>
      <c r="V48" s="136">
        <f>X40</f>
        <v>3300</v>
      </c>
      <c r="W48" s="76" t="s">
        <v>53</v>
      </c>
      <c r="X48" s="76"/>
      <c r="Y48" s="77"/>
      <c r="AC48" s="156" t="s">
        <v>152</v>
      </c>
      <c r="AD48" s="76"/>
      <c r="AE48" s="136">
        <f>AG40</f>
        <v>2650</v>
      </c>
      <c r="AF48" s="76" t="s">
        <v>53</v>
      </c>
      <c r="AG48" s="76"/>
      <c r="AH48" s="77"/>
    </row>
    <row r="49" spans="1:36" ht="16">
      <c r="B49" s="82" t="s">
        <v>230</v>
      </c>
      <c r="C49" s="83"/>
      <c r="D49" s="83"/>
      <c r="E49" s="83"/>
      <c r="F49" s="83"/>
      <c r="G49" s="83"/>
      <c r="H49" s="84"/>
      <c r="K49" s="82" t="s">
        <v>230</v>
      </c>
      <c r="L49" s="83"/>
      <c r="M49" s="83"/>
      <c r="N49" s="83"/>
      <c r="O49" s="83"/>
      <c r="P49" s="83"/>
      <c r="Q49" s="84"/>
      <c r="T49" s="82" t="s">
        <v>230</v>
      </c>
      <c r="U49" s="83"/>
      <c r="V49" s="83"/>
      <c r="W49" s="83"/>
      <c r="X49" s="83"/>
      <c r="Y49" s="83"/>
      <c r="Z49" s="84"/>
      <c r="AC49" s="82" t="s">
        <v>230</v>
      </c>
      <c r="AD49" s="83"/>
      <c r="AE49" s="83"/>
      <c r="AF49" s="83"/>
      <c r="AG49" s="83"/>
      <c r="AH49" s="83"/>
      <c r="AI49" s="84"/>
    </row>
    <row r="50" spans="1:36" ht="16">
      <c r="B50" s="126" t="str">
        <f>B40</f>
        <v>Turnigy nano-tech 8000mAh 6S 25~50C Lipo Pack</v>
      </c>
      <c r="C50" s="123"/>
      <c r="D50" s="123"/>
      <c r="E50" s="123"/>
      <c r="F50" s="86"/>
      <c r="G50" s="86"/>
      <c r="H50" s="87"/>
      <c r="K50" s="126" t="str">
        <f>E17</f>
        <v>Turnigy nano-tech 6000mah 6S 25~50C</v>
      </c>
      <c r="L50" s="123"/>
      <c r="M50" s="123"/>
      <c r="N50" s="123"/>
      <c r="O50" s="86"/>
      <c r="P50" s="86"/>
      <c r="Q50" s="87"/>
      <c r="T50" s="126" t="str">
        <f>E14</f>
        <v>Turnigy nano-tech 3300mah 6S 25~50C</v>
      </c>
      <c r="U50" s="123"/>
      <c r="V50" s="123"/>
      <c r="W50" s="123"/>
      <c r="X50" s="86"/>
      <c r="Y50" s="86"/>
      <c r="Z50" s="87"/>
      <c r="AC50" s="126" t="str">
        <f>E12</f>
        <v>ZIPPY Flightmax 2650mAh 6S1P 20C</v>
      </c>
      <c r="AD50" s="123"/>
      <c r="AE50" s="123"/>
      <c r="AF50" s="123"/>
      <c r="AG50" s="86"/>
      <c r="AH50" s="86"/>
      <c r="AI50" s="87"/>
    </row>
    <row r="51" spans="1:36">
      <c r="B51" s="11" t="s">
        <v>341</v>
      </c>
      <c r="C51" s="12" t="s">
        <v>25</v>
      </c>
      <c r="D51" s="12" t="s">
        <v>112</v>
      </c>
      <c r="E51" s="157" t="s">
        <v>118</v>
      </c>
      <c r="F51" s="71" t="s">
        <v>153</v>
      </c>
      <c r="G51" s="67">
        <f>G40</f>
        <v>1105</v>
      </c>
      <c r="H51" s="72" t="s">
        <v>154</v>
      </c>
      <c r="K51" s="11" t="s">
        <v>341</v>
      </c>
      <c r="L51" s="12" t="s">
        <v>25</v>
      </c>
      <c r="M51" s="12" t="s">
        <v>112</v>
      </c>
      <c r="N51" s="157" t="s">
        <v>118</v>
      </c>
      <c r="O51" s="71" t="s">
        <v>153</v>
      </c>
      <c r="P51" s="67">
        <f>P40</f>
        <v>908</v>
      </c>
      <c r="Q51" s="72" t="s">
        <v>154</v>
      </c>
      <c r="T51" s="11" t="s">
        <v>341</v>
      </c>
      <c r="U51" s="12" t="s">
        <v>25</v>
      </c>
      <c r="V51" s="12" t="s">
        <v>112</v>
      </c>
      <c r="W51" s="157" t="s">
        <v>118</v>
      </c>
      <c r="X51" s="71" t="s">
        <v>153</v>
      </c>
      <c r="Y51" s="67">
        <f>Y40</f>
        <v>489</v>
      </c>
      <c r="Z51" s="72" t="s">
        <v>154</v>
      </c>
      <c r="AC51" s="11" t="s">
        <v>341</v>
      </c>
      <c r="AD51" s="12" t="s">
        <v>25</v>
      </c>
      <c r="AE51" s="12" t="s">
        <v>112</v>
      </c>
      <c r="AF51" s="157" t="s">
        <v>118</v>
      </c>
      <c r="AG51" s="71" t="s">
        <v>153</v>
      </c>
      <c r="AH51" s="67">
        <f>AH40</f>
        <v>376</v>
      </c>
      <c r="AI51" s="72" t="s">
        <v>154</v>
      </c>
    </row>
    <row r="52" spans="1:36">
      <c r="B52" s="158">
        <f>E189</f>
        <v>21.400000000000201</v>
      </c>
      <c r="C52" s="159">
        <f>D189</f>
        <v>1588.6023067590224</v>
      </c>
      <c r="D52" s="129">
        <f>L189</f>
        <v>7.3333140000665873</v>
      </c>
      <c r="E52" s="159">
        <f>O189</f>
        <v>7.7053694790889429</v>
      </c>
      <c r="G52" s="67">
        <f>F40/4000</f>
        <v>2</v>
      </c>
      <c r="H52" s="132" t="s">
        <v>394</v>
      </c>
      <c r="K52" s="158">
        <f>$E$189</f>
        <v>21.400000000000201</v>
      </c>
      <c r="L52" s="159">
        <f>$D$189</f>
        <v>1588.6023067590224</v>
      </c>
      <c r="M52" s="129">
        <f>$L$189</f>
        <v>7.3333140000665873</v>
      </c>
      <c r="N52" s="159">
        <f>P$189</f>
        <v>5.7790271093167069</v>
      </c>
      <c r="P52" s="67">
        <f>O40/4000</f>
        <v>1.5</v>
      </c>
      <c r="Q52" s="132" t="s">
        <v>394</v>
      </c>
      <c r="T52" s="158">
        <f>$E$189</f>
        <v>21.400000000000201</v>
      </c>
      <c r="U52" s="159">
        <f>$D$189</f>
        <v>1588.6023067590224</v>
      </c>
      <c r="V52" s="129">
        <f>$L$189</f>
        <v>7.3333140000665873</v>
      </c>
      <c r="W52" s="159">
        <f>$Q$189</f>
        <v>3.1784649101241889</v>
      </c>
      <c r="Y52" s="67">
        <f>X40/4000</f>
        <v>0.82499999999999996</v>
      </c>
      <c r="Z52" s="132" t="s">
        <v>394</v>
      </c>
      <c r="AC52" s="158">
        <f>$E$189</f>
        <v>21.400000000000201</v>
      </c>
      <c r="AD52" s="159">
        <f>$D$189</f>
        <v>1588.6023067590224</v>
      </c>
      <c r="AE52" s="129">
        <f>$L$189</f>
        <v>7.3333140000665873</v>
      </c>
      <c r="AF52" s="159">
        <f>$R$189</f>
        <v>2.5524036399482126</v>
      </c>
      <c r="AH52" s="67">
        <f>AG40/4000</f>
        <v>0.66249999999999998</v>
      </c>
      <c r="AI52" s="132" t="s">
        <v>394</v>
      </c>
    </row>
    <row r="53" spans="1:36">
      <c r="B53" s="14">
        <f>INDEX(D63:O189,MATCH(F47,D63:D189,1)+1,2)</f>
        <v>19.3000000000001</v>
      </c>
      <c r="C53" s="42">
        <f>INDEX(D63:O189,MATCH(F47,D63:D189,1)+1,1)</f>
        <v>1317.5969077153031</v>
      </c>
      <c r="D53" s="67">
        <f>INDEX(D63:O189,MATCH(F47,D63:D189,1)+1,9)</f>
        <v>8.098329977149838</v>
      </c>
      <c r="E53" s="42">
        <f>INDEX(D63:O189,MATCH(F47,D63:D189,1)+1,12)</f>
        <v>9.2526218574244119</v>
      </c>
      <c r="F53" s="67"/>
      <c r="G53" s="67"/>
      <c r="H53" s="74"/>
      <c r="K53" s="14">
        <f>INDEX($D$63:$O$189,MATCH(O47,$D$63:$D$189,1)+1,2)</f>
        <v>18.700000000000099</v>
      </c>
      <c r="L53" s="42">
        <f>INDEX($D$63:$O$189,MATCH(O47,$D$63:$D$189,1)+1,1)</f>
        <v>1243.9728698444449</v>
      </c>
      <c r="M53" s="67">
        <f>INDEX($D$63:$O$189,MATCH(O47,$D$63:$D$189,1)+1,9)</f>
        <v>8.3464498974713344</v>
      </c>
      <c r="N53" s="42">
        <f>INDEX($D$63:$Q$189,MATCH(O47,$D$63:$D$189,1)+1,13)</f>
        <v>7.3398697726266073</v>
      </c>
      <c r="O53" s="67"/>
      <c r="P53" s="67"/>
      <c r="Q53" s="74"/>
      <c r="T53" s="14">
        <f>INDEX($D$63:$O$189,MATCH(X47,$D$63:$D$189,1)+1,2)</f>
        <v>17.200000000000099</v>
      </c>
      <c r="U53" s="42">
        <f>INDEX($D$63:$O$189,MATCH(X47,$D$63:$D$189,1)+1,1)</f>
        <v>1067.5915202748961</v>
      </c>
      <c r="V53" s="67">
        <f>INDEX($D$63:$O$189,MATCH(X47,$D$63:$D$189,1)+1,9)</f>
        <v>9.0368727576966474</v>
      </c>
      <c r="W53" s="42">
        <f>INDEX($D$63:$Q$189,MATCH(X47,$D$63:$D$189,1)+1,14)</f>
        <v>4.6844656011778643</v>
      </c>
      <c r="X53" s="67"/>
      <c r="Y53" s="67"/>
      <c r="Z53" s="74"/>
      <c r="AC53" s="14">
        <f>INDEX($D$63:$O$189,MATCH(AG47,$D$63:$D$189,1)+1,2)</f>
        <v>16.8000000000001</v>
      </c>
      <c r="AD53" s="42">
        <f>INDEX($D$63:$O$189,MATCH(AG47,$D$63:$D$189,1)+1,1)</f>
        <v>1022.4511524452636</v>
      </c>
      <c r="AE53" s="67">
        <f>INDEX($D$63:$O$189,MATCH(AG47,$D$63:$D$189,1)+1,9)</f>
        <v>9.2401575721880214</v>
      </c>
      <c r="AF53" s="42">
        <f>INDEX($D$63:$R$189,MATCH(AG47,$D$63:$D$189,1)+1,15)</f>
        <v>3.9228037327430165</v>
      </c>
      <c r="AG53" s="67"/>
      <c r="AH53" s="67"/>
      <c r="AI53" s="74"/>
    </row>
    <row r="54" spans="1:36">
      <c r="B54" s="14">
        <f>INDEX(D63:O189,MATCH(E47,D63:D189,1)+1,2)</f>
        <v>14.8000000000001</v>
      </c>
      <c r="C54" s="42">
        <f>INDEX(D63:O189,MATCH(E47,D63:D189,1)+1,1)</f>
        <v>809.15124559416302</v>
      </c>
      <c r="D54" s="67">
        <f>INDEX(D63:O189,MATCH(E47,D63:D189,1)+1,9)</f>
        <v>10.405535858741837</v>
      </c>
      <c r="E54" s="42">
        <f>INDEX(D63:O189,MATCH(E47,D63:D189,1)+1,12)</f>
        <v>14.845371196964647</v>
      </c>
      <c r="F54" s="67"/>
      <c r="G54" s="167">
        <v>592.72727272727275</v>
      </c>
      <c r="H54" s="74"/>
      <c r="K54" s="14">
        <f>INDEX($D$63:$O$189,MATCH(N47,$D$63:$D$189,1)+1,2)</f>
        <v>14.3000000000001</v>
      </c>
      <c r="L54" s="42">
        <f>INDEX($D$63:$O$189,MATCH(N47,$D$63:$D$189,1)+1,1)</f>
        <v>759.14469714673692</v>
      </c>
      <c r="M54" s="67">
        <f>INDEX($D$63:$O$189,MATCH(N47,$D$63:$D$189,1)+1,9)</f>
        <v>10.742429895757605</v>
      </c>
      <c r="N54" s="42">
        <f>INDEX($D$63:$Q$189,MATCH(N47,$D$63:$D$189,1)+1,13)</f>
        <v>11.837769219850124</v>
      </c>
      <c r="O54" s="67"/>
      <c r="P54" s="167">
        <v>592.72727272727275</v>
      </c>
      <c r="Q54" s="74"/>
      <c r="T54" s="14">
        <f>INDEX($D$63:$O$189,MATCH(W47,$D$63:$D$189,1)+1,2)</f>
        <v>13.2</v>
      </c>
      <c r="U54" s="42">
        <f>INDEX($D$63:$O$189,MATCH(W47,$D$63:$D$189,1)+1,1)</f>
        <v>653.96527764543305</v>
      </c>
      <c r="V54" s="67">
        <f>INDEX($D$63:$O$189,MATCH(W47,$D$63:$D$189,1)+1,9)</f>
        <v>11.562371902116777</v>
      </c>
      <c r="W54" s="42">
        <f>INDEX($D$63:$Q$189,MATCH(W47,$D$63:$D$189,1)+1,14)</f>
        <v>7.5090454163385649</v>
      </c>
      <c r="X54" s="67"/>
      <c r="Y54" s="67">
        <f>Y51/Y52</f>
        <v>592.72727272727275</v>
      </c>
      <c r="Z54" s="74"/>
      <c r="AC54" s="14">
        <f>INDEX($D$63:$O$189,MATCH(AF47,$D$63:$D$189,1)+1,2)</f>
        <v>12.9</v>
      </c>
      <c r="AD54" s="42">
        <f>INDEX($D$63:$O$189,MATCH(AF47,$D$63:$D$189,1)+1,1)</f>
        <v>626.45524464330674</v>
      </c>
      <c r="AE54" s="67">
        <f>INDEX($D$63:$O$189,MATCH(AF47,$D$63:$D$189,1)+1,9)</f>
        <v>11.807062948724822</v>
      </c>
      <c r="AF54" s="42">
        <f>INDEX($D$63:$R$189,MATCH(AF47,$D$63:$D$189,1)+1,15)</f>
        <v>6.2819146155233447</v>
      </c>
      <c r="AG54" s="67"/>
      <c r="AH54" s="67">
        <f>AH51/AH52</f>
        <v>567.54716981132083</v>
      </c>
      <c r="AI54" s="74"/>
    </row>
    <row r="55" spans="1:36">
      <c r="B55" s="16">
        <f>INDEX(D63:O189,MATCH(D47,D63:D189,1)+1,2)</f>
        <v>11.6</v>
      </c>
      <c r="C55" s="43">
        <f>INDEX(D63:O189,MATCH(D47,D63:D189,1)+1,1)</f>
        <v>513.22251866633974</v>
      </c>
      <c r="D55" s="76">
        <f>INDEX(D63:O189,MATCH(D47,D63:D189,1)+1,9)</f>
        <v>12.990895841890332</v>
      </c>
      <c r="E55" s="43">
        <f>INDEX(D63:O189,MATCH(D47,D63:D189,1)+1,12)</f>
        <v>22.902663328738466</v>
      </c>
      <c r="F55" s="76"/>
      <c r="G55" s="76"/>
      <c r="H55" s="77"/>
      <c r="K55" s="16">
        <f>INDEX($D$63:$O$189,MATCH(M47,$D$63:$D$189,1)+1,2)</f>
        <v>11</v>
      </c>
      <c r="L55" s="43">
        <f>INDEX($D$63:$O$189,MATCH(M47,$D$63:$D$189,1)+1,1)</f>
        <v>464.31042046731528</v>
      </c>
      <c r="M55" s="76">
        <f>INDEX($D$63:$O$189,MATCH(M47,$D$63:$D$175,1)+1,9)</f>
        <v>13.615262398731852</v>
      </c>
      <c r="N55" s="43">
        <f>INDEX($D$63:$Q$189,MATCH(M47,$D$63:$D$189,1)+1,13)</f>
        <v>18.869749562729659</v>
      </c>
      <c r="O55" s="76"/>
      <c r="P55" s="76"/>
      <c r="Q55" s="77"/>
      <c r="T55" s="16">
        <f>INDEX($D$63:$O$189,MATCH(V47,$D$63:$D$189,1)+1,2)</f>
        <v>9.6</v>
      </c>
      <c r="U55" s="43">
        <f>INDEX($D$63:$O$189,MATCH(V47,$D$63:$D$189,1)+1,1)</f>
        <v>358.69001890916172</v>
      </c>
      <c r="V55" s="76">
        <f>INDEX($D$63:$O$189,MATCH(V47,$D$63:$D$189,1)+1,9)</f>
        <v>15.309988518579599</v>
      </c>
      <c r="W55" s="43">
        <f>INDEX($D$63:$Q$189,MATCH(V47,$D$63:$D$189,1)+1,14)</f>
        <v>13.183944365110627</v>
      </c>
      <c r="X55" s="76"/>
      <c r="Y55" s="76"/>
      <c r="Z55" s="77"/>
      <c r="AC55" s="16">
        <f>INDEX($D$63:$O$189,MATCH(AE47,$D$63:$D$189,1)+1,2)</f>
        <v>9.1999999999999993</v>
      </c>
      <c r="AD55" s="43">
        <f>INDEX($D$63:$O$189,MATCH(AE47,$D$63:$D$189,1)+1,1)</f>
        <v>330.75575594122682</v>
      </c>
      <c r="AE55" s="76">
        <f>INDEX($D$63:$O$189,MATCH(AE47,$D$63:$D$189,1)+1,9)</f>
        <v>15.86582830529802</v>
      </c>
      <c r="AF55" s="43">
        <f>INDEX($D$63:$R$189,MATCH(AE47,$D$63:$D$189,1)+1,15)</f>
        <v>11.402331326264253</v>
      </c>
      <c r="AG55" s="76"/>
      <c r="AH55" s="76"/>
      <c r="AI55" s="77"/>
    </row>
    <row r="57" spans="1:36" ht="17">
      <c r="O57" s="149" t="s">
        <v>413</v>
      </c>
      <c r="P57" s="149"/>
      <c r="Y57" s="7" t="s">
        <v>16</v>
      </c>
    </row>
    <row r="58" spans="1:36">
      <c r="O58" s="149">
        <f>D48/4</f>
        <v>2000</v>
      </c>
      <c r="P58">
        <f>M48/4</f>
        <v>1500</v>
      </c>
      <c r="Q58">
        <f>V48/4</f>
        <v>825</v>
      </c>
      <c r="R58">
        <f>AE48/4</f>
        <v>662.5</v>
      </c>
      <c r="S58">
        <f>Y72/4</f>
        <v>2500</v>
      </c>
      <c r="Y58" s="7">
        <f>($B$69*$B$66^2+$B$63*(($B$67/$B$66)-$B$66*$B$69))/2</f>
        <v>28.84</v>
      </c>
      <c r="AE58" s="70"/>
      <c r="AF58" s="71" t="s">
        <v>357</v>
      </c>
      <c r="AG58" s="71"/>
      <c r="AH58" s="71"/>
      <c r="AI58" s="71"/>
      <c r="AJ58" s="72"/>
    </row>
    <row r="59" spans="1:36" ht="16">
      <c r="C59" s="4" t="s">
        <v>111</v>
      </c>
      <c r="D59" s="2"/>
      <c r="E59" s="2"/>
      <c r="F59" s="2"/>
      <c r="G59" s="2"/>
      <c r="H59" s="2"/>
      <c r="I59" s="2"/>
      <c r="J59" s="2"/>
      <c r="L59" s="2"/>
      <c r="M59" s="2"/>
      <c r="N59" s="2"/>
      <c r="O59" s="149" t="s">
        <v>412</v>
      </c>
      <c r="P59" s="149" t="s">
        <v>412</v>
      </c>
      <c r="Q59" s="149" t="s">
        <v>411</v>
      </c>
      <c r="R59" s="149" t="s">
        <v>411</v>
      </c>
      <c r="S59" s="167" t="s">
        <v>411</v>
      </c>
      <c r="Y59" t="s">
        <v>33</v>
      </c>
      <c r="AE59" s="70"/>
      <c r="AF59" s="71">
        <v>2650</v>
      </c>
      <c r="AG59" s="71">
        <v>3300</v>
      </c>
      <c r="AH59" s="71">
        <v>6000</v>
      </c>
      <c r="AI59" s="71">
        <v>8000</v>
      </c>
      <c r="AJ59" s="72">
        <f>AA64</f>
        <v>10000</v>
      </c>
    </row>
    <row r="60" spans="1:36" ht="16">
      <c r="C60" s="4">
        <v>1.34</v>
      </c>
      <c r="D60" s="2"/>
      <c r="E60" s="2"/>
      <c r="F60" s="2"/>
      <c r="G60" s="2"/>
      <c r="H60" s="2"/>
      <c r="I60" s="2"/>
      <c r="J60" s="2"/>
      <c r="M60" s="2" t="s">
        <v>113</v>
      </c>
      <c r="N60" s="2" t="s">
        <v>113</v>
      </c>
      <c r="O60" s="149" t="s">
        <v>415</v>
      </c>
      <c r="P60" s="149" t="s">
        <v>415</v>
      </c>
      <c r="Q60" s="149" t="s">
        <v>414</v>
      </c>
      <c r="R60" s="149" t="s">
        <v>414</v>
      </c>
      <c r="S60" s="167" t="s">
        <v>414</v>
      </c>
      <c r="Y60" s="31" t="s">
        <v>22</v>
      </c>
      <c r="AE60" s="73" t="s">
        <v>352</v>
      </c>
      <c r="AF60" s="70">
        <f>AF55</f>
        <v>11.402331326264253</v>
      </c>
      <c r="AG60" s="71">
        <f>W55</f>
        <v>13.183944365110627</v>
      </c>
      <c r="AH60" s="71">
        <f>N55</f>
        <v>18.869749562729659</v>
      </c>
      <c r="AI60" s="71">
        <f>E55</f>
        <v>22.902663328738466</v>
      </c>
      <c r="AJ60" s="72">
        <f>Z79</f>
        <v>22.153291311562207</v>
      </c>
    </row>
    <row r="61" spans="1:36">
      <c r="A61" s="5" t="s">
        <v>261</v>
      </c>
      <c r="B61" s="5">
        <v>13</v>
      </c>
      <c r="D61" s="2" t="s">
        <v>25</v>
      </c>
      <c r="E61" s="11" t="s">
        <v>341</v>
      </c>
      <c r="F61" s="12" t="s">
        <v>342</v>
      </c>
      <c r="G61" s="12" t="s">
        <v>262</v>
      </c>
      <c r="H61" s="12" t="s">
        <v>127</v>
      </c>
      <c r="I61" s="12" t="s">
        <v>48</v>
      </c>
      <c r="J61" s="13" t="s">
        <v>43</v>
      </c>
      <c r="K61" s="2" t="s">
        <v>24</v>
      </c>
      <c r="L61" s="9" t="s">
        <v>112</v>
      </c>
      <c r="M61" s="9" t="s">
        <v>114</v>
      </c>
      <c r="N61" s="9" t="s">
        <v>252</v>
      </c>
      <c r="O61" s="149" t="s">
        <v>118</v>
      </c>
      <c r="P61" s="149" t="s">
        <v>118</v>
      </c>
      <c r="Q61" s="149" t="s">
        <v>118</v>
      </c>
      <c r="R61" s="149" t="s">
        <v>118</v>
      </c>
      <c r="S61" s="167" t="s">
        <v>118</v>
      </c>
      <c r="T61" t="s">
        <v>269</v>
      </c>
      <c r="AE61" s="73" t="s">
        <v>237</v>
      </c>
      <c r="AF61" s="73">
        <f>AF54</f>
        <v>6.2819146155233447</v>
      </c>
      <c r="AG61" s="67">
        <f>W54</f>
        <v>7.5090454163385649</v>
      </c>
      <c r="AH61" s="67">
        <f>N54</f>
        <v>11.837769219850124</v>
      </c>
      <c r="AI61" s="67">
        <f>E54</f>
        <v>14.845371196964647</v>
      </c>
      <c r="AJ61" s="74">
        <f>Z78</f>
        <v>15.452599724932519</v>
      </c>
    </row>
    <row r="62" spans="1:36">
      <c r="A62" s="5" t="s">
        <v>143</v>
      </c>
      <c r="B62" s="5">
        <v>4</v>
      </c>
      <c r="D62" s="164">
        <f t="shared" ref="D62" si="0">$C$60*0.6*((0.6*3.1416*($B$61*0.0254)^2*K62^2)^(1/3))/9.81*1000</f>
        <v>1602.0118490244349</v>
      </c>
      <c r="E62" s="35">
        <v>21.5</v>
      </c>
      <c r="F62" s="9">
        <f t="shared" ref="F62" si="1">(0.5+(0.00000036*$B$65*$B$68^3*($B$62*0.0254)*($B$61*0.0254)^4)*($B$69+$B$70)*$E62-(0.25-(0.00000036*$B$65*$B$68^3*($B$62*0.0254)*($B$61*0.0254)^4)*(($B$69+$B$70)^2*$B$63-($B$69+$B$70)*$E62))^(1/2))/((0.00000036*$B$65*$B$68^3*($B$62*0.0254)*($B$61*0.0254)^4)*($B$69+$B$70)^2)</f>
        <v>10.206570526886221</v>
      </c>
      <c r="G62" s="36">
        <f t="shared" ref="G62" si="2">E62*F62</f>
        <v>219.44126632805376</v>
      </c>
      <c r="H62" s="36">
        <f>(E62-($B$69+$B$70)*F62)*(F62-$B$63)</f>
        <v>190.6294020524717</v>
      </c>
      <c r="I62" s="9">
        <f t="shared" ref="I62" si="3">H62/G62*100</f>
        <v>86.870352710911831</v>
      </c>
      <c r="J62" s="37">
        <f t="shared" ref="J62:J79" si="4">$B$68*(E62-(F62*($B$69+$B$70)))</f>
        <v>7429.66499868345</v>
      </c>
      <c r="K62" s="38">
        <f>(($B$61*0.0254)^4)*($B$62*0.0254)*(J62^3)*2*$B$65*0.00000018</f>
        <v>190.62940205247273</v>
      </c>
      <c r="L62" s="2">
        <f t="shared" ref="L62" si="5">D62/G62</f>
        <v>7.3004128887476751</v>
      </c>
      <c r="M62" s="38">
        <f t="shared" ref="M62" si="6">1.30652287/($B$61*0.0254)*POWER(D62*0.00981,3/2)</f>
        <v>246.51425859078111</v>
      </c>
      <c r="N62" s="38">
        <f t="shared" ref="N62" si="7">POWER(J62/$B$64,3)*100</f>
        <v>221.45379596363645</v>
      </c>
      <c r="O62" s="38">
        <f t="shared" ref="O62" si="8">0.65*60*O$58/(F62*1000)</f>
        <v>7.6421359941159324</v>
      </c>
      <c r="P62" s="38">
        <f t="shared" ref="P62:S81" si="9">0.65*60*P$58/($F62*1000)</f>
        <v>5.7316019955869493</v>
      </c>
      <c r="Q62" s="38">
        <f t="shared" si="9"/>
        <v>3.1523810975728219</v>
      </c>
      <c r="R62" s="38">
        <f>0.65*60*R$58/($F62*1000)</f>
        <v>2.5314575480509025</v>
      </c>
      <c r="S62">
        <f>0.65*60*S$58/($F62*1000)</f>
        <v>9.5526699926449155</v>
      </c>
      <c r="T62" s="33">
        <f t="shared" ref="T62:T93" si="10">($B$69*$B$63+SQRT($B$69^2*$B$63^2+4*$B$69*($Y$58-(E62*$B$63))))/(2*$B$69)</f>
        <v>10.212368664165682</v>
      </c>
      <c r="AE62" s="75" t="s">
        <v>238</v>
      </c>
      <c r="AF62" s="75">
        <f>AF53</f>
        <v>3.9228037327430165</v>
      </c>
      <c r="AG62" s="76">
        <f>W53</f>
        <v>4.6844656011778643</v>
      </c>
      <c r="AH62" s="76">
        <f>N53</f>
        <v>7.3398697726266073</v>
      </c>
      <c r="AI62" s="76">
        <f>E53</f>
        <v>9.2526218574244119</v>
      </c>
      <c r="AJ62" s="77">
        <f>Z77</f>
        <v>9.6317118488611797</v>
      </c>
    </row>
    <row r="63" spans="1:36">
      <c r="A63" s="10" t="s">
        <v>63</v>
      </c>
      <c r="B63" s="5">
        <v>0.2</v>
      </c>
      <c r="D63" s="63">
        <f t="shared" ref="D63:D107" si="11">$C$60*0.6*((0.6*3.1416*($B$61*0.0254)^2*K63^2)^(1/3))/9.81*1000</f>
        <v>303.84173441083266</v>
      </c>
      <c r="E63" s="162">
        <v>8.8000000000000007</v>
      </c>
      <c r="F63" s="9">
        <f t="shared" ref="F63:F94" si="12">(0.5+(0.00000036*$B$65*$B$68^3*($B$62*0.0254)*($B$61*0.0254)^4)*($B$69+$B$70)*$E63-(0.25-(0.00000036*$B$65*$B$68^3*($B$62*0.0254)*($B$61*0.0254)^4)*(($B$69+$B$70)^2*$B$63-($B$69+$B$70)*$E63))^(1/2))/((0.00000036*$B$65*$B$68^3*($B$62*0.0254)*($B$61*0.0254)^4)*($B$69+$B$70)^2)</f>
        <v>2.0978721950433847</v>
      </c>
      <c r="G63" s="36">
        <f t="shared" ref="G63:G79" si="13">E63*F63</f>
        <v>18.461275316381787</v>
      </c>
      <c r="H63" s="36">
        <f t="shared" ref="H63:H79" si="14">(E63-($B$69+$B$70)*F63)*(F63-$B$63)</f>
        <v>15.745716922527196</v>
      </c>
      <c r="I63" s="36">
        <f t="shared" ref="I63:I79" si="15">H63/G63*100</f>
        <v>85.290515702103662</v>
      </c>
      <c r="J63" s="37">
        <f t="shared" si="4"/>
        <v>3235.6391625439396</v>
      </c>
      <c r="K63" s="38">
        <f t="shared" ref="K63:K79" si="16">(($B$61*0.0254)^4)*($B$62*0.0254)*(J63^3)*2*$B$65*0.00000018</f>
        <v>15.745716922526828</v>
      </c>
      <c r="L63" s="38">
        <f t="shared" ref="L63:L107" si="17">D63/G63</f>
        <v>16.45832853926488</v>
      </c>
      <c r="M63" s="38">
        <f t="shared" ref="M63:M107" si="18">1.30652287/($B$61*0.0254)*POWER(D63*0.00981,3/2)</f>
        <v>20.36172642491205</v>
      </c>
      <c r="N63" s="38">
        <f t="shared" ref="N63:N107" si="19">POWER(J63/$B$64,3)*100</f>
        <v>18.291767928342008</v>
      </c>
      <c r="O63" s="38">
        <f t="shared" ref="O63:O94" si="20">0.65*60*O$58/(F63*1000)</f>
        <v>37.18052995997067</v>
      </c>
      <c r="P63" s="38">
        <f t="shared" si="9"/>
        <v>27.885397469978003</v>
      </c>
      <c r="Q63" s="38">
        <f t="shared" si="9"/>
        <v>15.336968608487902</v>
      </c>
      <c r="R63" s="38">
        <f t="shared" si="9"/>
        <v>12.316050549240286</v>
      </c>
      <c r="S63">
        <f t="shared" si="9"/>
        <v>46.475662449963338</v>
      </c>
      <c r="T63" s="34">
        <f t="shared" si="10"/>
        <v>10.722774276681838</v>
      </c>
    </row>
    <row r="64" spans="1:36">
      <c r="A64" s="4" t="s">
        <v>14</v>
      </c>
      <c r="B64" s="4">
        <v>5700</v>
      </c>
      <c r="D64" s="65">
        <f t="shared" si="11"/>
        <v>310.4738759756973</v>
      </c>
      <c r="E64" s="162">
        <v>8.9</v>
      </c>
      <c r="F64" s="9">
        <f t="shared" si="12"/>
        <v>2.1392982259141395</v>
      </c>
      <c r="G64" s="36">
        <f t="shared" si="13"/>
        <v>19.039754210635842</v>
      </c>
      <c r="H64" s="36">
        <f t="shared" si="14"/>
        <v>16.264057269623869</v>
      </c>
      <c r="I64" s="9">
        <f t="shared" si="15"/>
        <v>85.421571569125433</v>
      </c>
      <c r="J64" s="37">
        <f t="shared" si="4"/>
        <v>3270.7616860544372</v>
      </c>
      <c r="K64" s="38">
        <f t="shared" si="16"/>
        <v>16.264057269624079</v>
      </c>
      <c r="L64" s="2">
        <f t="shared" si="17"/>
        <v>16.306611552908741</v>
      </c>
      <c r="M64" s="38">
        <f t="shared" si="18"/>
        <v>21.032023267826105</v>
      </c>
      <c r="N64" s="38">
        <f t="shared" si="19"/>
        <v>18.893922875217399</v>
      </c>
      <c r="O64" s="38">
        <f t="shared" si="20"/>
        <v>36.460554706752006</v>
      </c>
      <c r="P64" s="38">
        <f t="shared" si="9"/>
        <v>27.345416030064005</v>
      </c>
      <c r="Q64" s="38">
        <f t="shared" si="9"/>
        <v>15.039978816535204</v>
      </c>
      <c r="R64" s="38">
        <f t="shared" si="9"/>
        <v>12.077558746611603</v>
      </c>
      <c r="S64">
        <f t="shared" si="9"/>
        <v>45.575693383440012</v>
      </c>
      <c r="T64" s="34">
        <f t="shared" si="10"/>
        <v>10.718851161966628</v>
      </c>
      <c r="V64" s="136" t="s">
        <v>30</v>
      </c>
      <c r="W64" s="153" t="str">
        <f>E20</f>
        <v>4 x Turnigy nano-tech 5000mah 3S 65~130C Lipo Pack</v>
      </c>
      <c r="X64" s="150"/>
      <c r="Y64" s="150"/>
      <c r="Z64" s="150"/>
      <c r="AA64" s="150">
        <f>I20</f>
        <v>10000</v>
      </c>
      <c r="AB64" s="154">
        <f>J20</f>
        <v>1768</v>
      </c>
      <c r="AC64" s="151" t="s">
        <v>106</v>
      </c>
    </row>
    <row r="65" spans="1:29">
      <c r="A65" s="4" t="s">
        <v>271</v>
      </c>
      <c r="B65" s="4">
        <v>1.069</v>
      </c>
      <c r="D65" s="65">
        <f t="shared" si="11"/>
        <v>317.1703975953356</v>
      </c>
      <c r="E65" s="162">
        <v>9</v>
      </c>
      <c r="F65" s="9">
        <f t="shared" si="12"/>
        <v>2.1811263908634548</v>
      </c>
      <c r="G65" s="36">
        <f t="shared" si="13"/>
        <v>19.630137517771093</v>
      </c>
      <c r="H65" s="36">
        <f t="shared" si="14"/>
        <v>16.793076624631492</v>
      </c>
      <c r="I65" s="9">
        <f t="shared" si="15"/>
        <v>85.547422219680229</v>
      </c>
      <c r="J65" s="37">
        <f t="shared" si="4"/>
        <v>3305.8465698151808</v>
      </c>
      <c r="K65" s="38">
        <f t="shared" si="16"/>
        <v>16.793076624631585</v>
      </c>
      <c r="L65" s="2">
        <f t="shared" si="17"/>
        <v>16.157319188834126</v>
      </c>
      <c r="M65" s="38">
        <f t="shared" si="18"/>
        <v>21.716129773306054</v>
      </c>
      <c r="N65" s="38">
        <f t="shared" si="19"/>
        <v>19.50848360427219</v>
      </c>
      <c r="O65" s="38">
        <f t="shared" si="20"/>
        <v>35.761338878267253</v>
      </c>
      <c r="P65" s="38">
        <f t="shared" si="9"/>
        <v>26.82100415870044</v>
      </c>
      <c r="Q65" s="38">
        <f t="shared" si="9"/>
        <v>14.751552287285243</v>
      </c>
      <c r="R65" s="38">
        <f t="shared" si="9"/>
        <v>11.845943503426028</v>
      </c>
      <c r="S65">
        <f t="shared" si="9"/>
        <v>44.701673597834066</v>
      </c>
      <c r="T65" s="34">
        <f t="shared" si="10"/>
        <v>10.714926597328249</v>
      </c>
    </row>
    <row r="66" spans="1:29">
      <c r="A66" s="5" t="s">
        <v>269</v>
      </c>
      <c r="B66" s="5">
        <v>15</v>
      </c>
      <c r="D66" s="65">
        <f t="shared" si="11"/>
        <v>323.93109272982332</v>
      </c>
      <c r="E66" s="162">
        <v>9.1</v>
      </c>
      <c r="F66" s="9">
        <f t="shared" si="12"/>
        <v>2.223355399790742</v>
      </c>
      <c r="G66" s="36">
        <f t="shared" si="13"/>
        <v>20.232534138095751</v>
      </c>
      <c r="H66" s="36">
        <f t="shared" si="14"/>
        <v>17.332860981178829</v>
      </c>
      <c r="I66" s="36">
        <f t="shared" si="15"/>
        <v>85.668265096574629</v>
      </c>
      <c r="J66" s="37">
        <f t="shared" si="4"/>
        <v>3340.8939345795866</v>
      </c>
      <c r="K66" s="38">
        <f t="shared" si="16"/>
        <v>17.332860981178694</v>
      </c>
      <c r="L66" s="38">
        <f t="shared" si="17"/>
        <v>16.010406334612078</v>
      </c>
      <c r="M66" s="38">
        <f t="shared" si="18"/>
        <v>22.414157144847007</v>
      </c>
      <c r="N66" s="38">
        <f t="shared" si="19"/>
        <v>20.135550014134001</v>
      </c>
      <c r="O66" s="38">
        <f t="shared" si="20"/>
        <v>35.082110582654131</v>
      </c>
      <c r="P66" s="38">
        <f t="shared" si="9"/>
        <v>26.3115829369906</v>
      </c>
      <c r="Q66" s="38">
        <f t="shared" si="9"/>
        <v>14.47137061534483</v>
      </c>
      <c r="R66" s="38">
        <f t="shared" si="9"/>
        <v>11.620949130504181</v>
      </c>
      <c r="S66">
        <f t="shared" si="9"/>
        <v>43.852638228317666</v>
      </c>
      <c r="T66" s="34">
        <f t="shared" si="10"/>
        <v>10.711000581157903</v>
      </c>
      <c r="W66" s="155"/>
      <c r="X66" s="71"/>
      <c r="Y66" s="12" t="s">
        <v>197</v>
      </c>
      <c r="Z66" s="12" t="s">
        <v>198</v>
      </c>
      <c r="AA66" s="71"/>
      <c r="AB66" s="72"/>
    </row>
    <row r="67" spans="1:29" ht="17">
      <c r="A67" s="5" t="s">
        <v>17</v>
      </c>
      <c r="B67" s="5">
        <v>330</v>
      </c>
      <c r="D67" s="65">
        <f t="shared" si="11"/>
        <v>330.75575594122682</v>
      </c>
      <c r="E67" s="162">
        <v>9.1999999999999993</v>
      </c>
      <c r="F67" s="9">
        <f t="shared" si="12"/>
        <v>2.2659839694787345</v>
      </c>
      <c r="G67" s="36">
        <f t="shared" si="13"/>
        <v>20.847052519204354</v>
      </c>
      <c r="H67" s="36">
        <f t="shared" si="14"/>
        <v>17.883495745755031</v>
      </c>
      <c r="I67" s="9">
        <f t="shared" si="15"/>
        <v>85.784288830666654</v>
      </c>
      <c r="J67" s="37">
        <f t="shared" si="4"/>
        <v>3375.9039004567903</v>
      </c>
      <c r="K67" s="38">
        <f t="shared" si="16"/>
        <v>17.883495745755035</v>
      </c>
      <c r="L67" s="2">
        <f t="shared" si="17"/>
        <v>15.86582830529802</v>
      </c>
      <c r="M67" s="38">
        <f t="shared" si="18"/>
        <v>23.126215826678699</v>
      </c>
      <c r="N67" s="38">
        <f t="shared" si="19"/>
        <v>20.775221321351385</v>
      </c>
      <c r="O67" s="38">
        <f t="shared" si="20"/>
        <v>34.422132305703407</v>
      </c>
      <c r="P67" s="38">
        <f t="shared" si="9"/>
        <v>25.816599229277557</v>
      </c>
      <c r="Q67" s="38">
        <f t="shared" si="9"/>
        <v>14.199129576102656</v>
      </c>
      <c r="R67" s="38">
        <f t="shared" si="9"/>
        <v>11.402331326264253</v>
      </c>
      <c r="S67">
        <f t="shared" si="9"/>
        <v>43.027665382129257</v>
      </c>
      <c r="T67" s="34">
        <f t="shared" si="10"/>
        <v>10.707073111843812</v>
      </c>
      <c r="W67" s="44" t="s">
        <v>196</v>
      </c>
      <c r="X67" s="67"/>
      <c r="Y67" s="67">
        <f>I35+Y69+(4*(Y68+Y70))</f>
        <v>2689.2731643307934</v>
      </c>
      <c r="Z67" s="9">
        <f>Y67+1200</f>
        <v>3889.2731643307934</v>
      </c>
      <c r="AA67" s="67"/>
      <c r="AB67" s="74"/>
    </row>
    <row r="68" spans="1:29">
      <c r="A68" s="5" t="s">
        <v>157</v>
      </c>
      <c r="B68" s="5">
        <v>390</v>
      </c>
      <c r="D68" s="65">
        <f t="shared" si="11"/>
        <v>337.64418288538548</v>
      </c>
      <c r="E68" s="162">
        <v>9.3000000000000007</v>
      </c>
      <c r="F68" s="9">
        <f t="shared" si="12"/>
        <v>2.3090108235423163</v>
      </c>
      <c r="G68" s="36">
        <f t="shared" si="13"/>
        <v>21.473800658943542</v>
      </c>
      <c r="H68" s="36">
        <f t="shared" si="14"/>
        <v>18.445065742497039</v>
      </c>
      <c r="I68" s="9">
        <f t="shared" si="15"/>
        <v>85.895673688369286</v>
      </c>
      <c r="J68" s="37">
        <f t="shared" si="4"/>
        <v>3410.8765869164399</v>
      </c>
      <c r="K68" s="38">
        <f t="shared" si="16"/>
        <v>18.445065742496631</v>
      </c>
      <c r="L68" s="2">
        <f t="shared" si="17"/>
        <v>15.723540897487158</v>
      </c>
      <c r="M68" s="38">
        <f t="shared" si="18"/>
        <v>23.852415509954604</v>
      </c>
      <c r="N68" s="38">
        <f t="shared" si="19"/>
        <v>21.42759606595391</v>
      </c>
      <c r="O68" s="38">
        <f t="shared" si="20"/>
        <v>33.780699165514555</v>
      </c>
      <c r="P68" s="38">
        <f t="shared" si="9"/>
        <v>25.335524374135915</v>
      </c>
      <c r="Q68" s="38">
        <f t="shared" si="9"/>
        <v>13.934538405774754</v>
      </c>
      <c r="R68" s="38">
        <f t="shared" si="9"/>
        <v>11.189856598576696</v>
      </c>
      <c r="S68">
        <f t="shared" si="9"/>
        <v>42.225873956893196</v>
      </c>
      <c r="T68" s="34">
        <f t="shared" si="10"/>
        <v>10.703144187771223</v>
      </c>
      <c r="W68" s="44" t="s">
        <v>50</v>
      </c>
      <c r="X68" s="67"/>
      <c r="Y68" s="9">
        <v>85</v>
      </c>
      <c r="Z68" s="9"/>
      <c r="AA68" s="67"/>
      <c r="AB68" s="74"/>
    </row>
    <row r="69" spans="1:29">
      <c r="A69" s="5" t="s">
        <v>158</v>
      </c>
      <c r="B69" s="5">
        <v>0.24</v>
      </c>
      <c r="D69" s="65">
        <f t="shared" si="11"/>
        <v>344.59617030378382</v>
      </c>
      <c r="E69" s="162">
        <v>9.4</v>
      </c>
      <c r="F69" s="9">
        <f t="shared" si="12"/>
        <v>2.3524346923773498</v>
      </c>
      <c r="G69" s="36">
        <f t="shared" si="13"/>
        <v>22.112886108347087</v>
      </c>
      <c r="H69" s="36">
        <f t="shared" si="14"/>
        <v>19.017655217925075</v>
      </c>
      <c r="I69" s="36">
        <f t="shared" si="15"/>
        <v>86.002591994295869</v>
      </c>
      <c r="J69" s="37">
        <f t="shared" si="4"/>
        <v>3445.8121127934801</v>
      </c>
      <c r="K69" s="38">
        <f t="shared" si="16"/>
        <v>19.017655217924787</v>
      </c>
      <c r="L69" s="38">
        <f t="shared" si="17"/>
        <v>15.583500435689713</v>
      </c>
      <c r="M69" s="38">
        <f t="shared" si="18"/>
        <v>24.592865138880175</v>
      </c>
      <c r="N69" s="38">
        <f t="shared" si="19"/>
        <v>22.092772116957253</v>
      </c>
      <c r="O69" s="38">
        <f t="shared" si="20"/>
        <v>33.157137264105678</v>
      </c>
      <c r="P69" s="38">
        <f t="shared" si="9"/>
        <v>24.86785294807926</v>
      </c>
      <c r="Q69" s="38">
        <f t="shared" si="9"/>
        <v>13.677319121443594</v>
      </c>
      <c r="R69" s="38">
        <f t="shared" si="9"/>
        <v>10.983301718735007</v>
      </c>
      <c r="S69">
        <f t="shared" si="9"/>
        <v>41.446421580132096</v>
      </c>
      <c r="T69" s="34">
        <f t="shared" si="10"/>
        <v>10.699213807322378</v>
      </c>
      <c r="W69" s="134" t="s">
        <v>200</v>
      </c>
      <c r="X69" s="67"/>
      <c r="Y69" s="67">
        <f>AB64</f>
        <v>1768</v>
      </c>
      <c r="Z69" s="67">
        <v>22.2</v>
      </c>
      <c r="AA69" s="67" t="s">
        <v>425</v>
      </c>
      <c r="AB69" s="74"/>
    </row>
    <row r="70" spans="1:29">
      <c r="A70" s="5" t="s">
        <v>250</v>
      </c>
      <c r="B70" s="5">
        <v>0</v>
      </c>
      <c r="D70" s="65">
        <f t="shared" si="11"/>
        <v>351.61151601548727</v>
      </c>
      <c r="E70" s="162">
        <v>9.5</v>
      </c>
      <c r="F70" s="9">
        <f t="shared" si="12"/>
        <v>2.3962543131106946</v>
      </c>
      <c r="G70" s="36">
        <f t="shared" si="13"/>
        <v>22.7644159745516</v>
      </c>
      <c r="H70" s="36">
        <f t="shared" si="14"/>
        <v>19.601347845636525</v>
      </c>
      <c r="I70" s="9">
        <f t="shared" si="15"/>
        <v>86.105208530493044</v>
      </c>
      <c r="J70" s="37">
        <f t="shared" si="4"/>
        <v>3480.710596292839</v>
      </c>
      <c r="K70" s="38">
        <f t="shared" si="16"/>
        <v>19.601347845636653</v>
      </c>
      <c r="L70" s="2">
        <f t="shared" si="17"/>
        <v>15.445663811826083</v>
      </c>
      <c r="M70" s="38">
        <f t="shared" si="18"/>
        <v>25.3476729167784</v>
      </c>
      <c r="N70" s="38">
        <f t="shared" si="19"/>
        <v>22.770846677812255</v>
      </c>
      <c r="O70" s="38">
        <f t="shared" si="20"/>
        <v>32.550802130323305</v>
      </c>
      <c r="P70" s="38">
        <f t="shared" si="9"/>
        <v>24.413101597742479</v>
      </c>
      <c r="Q70" s="38">
        <f t="shared" si="9"/>
        <v>13.427205878758363</v>
      </c>
      <c r="R70" s="38">
        <f t="shared" si="9"/>
        <v>10.782453205669594</v>
      </c>
      <c r="S70">
        <f t="shared" si="9"/>
        <v>40.688502662904128</v>
      </c>
      <c r="T70" s="34">
        <f t="shared" si="10"/>
        <v>10.695281968876525</v>
      </c>
      <c r="W70" s="134" t="s">
        <v>146</v>
      </c>
      <c r="X70" s="67"/>
      <c r="Y70" s="67">
        <v>33</v>
      </c>
      <c r="Z70" s="67"/>
      <c r="AA70" s="67"/>
      <c r="AB70" s="74"/>
    </row>
    <row r="71" spans="1:29">
      <c r="D71" s="65">
        <f t="shared" si="11"/>
        <v>358.69001890916172</v>
      </c>
      <c r="E71" s="162">
        <v>9.6</v>
      </c>
      <c r="F71" s="9">
        <f t="shared" si="12"/>
        <v>2.4404684295502959</v>
      </c>
      <c r="G71" s="36">
        <f t="shared" si="13"/>
        <v>23.42849692368284</v>
      </c>
      <c r="H71" s="36">
        <f t="shared" si="14"/>
        <v>20.196226730949647</v>
      </c>
      <c r="I71" s="9">
        <f t="shared" si="15"/>
        <v>86.203680913623472</v>
      </c>
      <c r="J71" s="37">
        <f t="shared" si="4"/>
        <v>3515.5721549940922</v>
      </c>
      <c r="K71" s="38">
        <f t="shared" si="16"/>
        <v>20.196226730949405</v>
      </c>
      <c r="L71" s="2">
        <f t="shared" si="17"/>
        <v>15.309988518579599</v>
      </c>
      <c r="M71" s="38">
        <f t="shared" si="18"/>
        <v>26.116946312095553</v>
      </c>
      <c r="N71" s="38">
        <f t="shared" si="19"/>
        <v>23.461916291800044</v>
      </c>
      <c r="O71" s="38">
        <f t="shared" si="20"/>
        <v>31.961077248753032</v>
      </c>
      <c r="P71" s="38">
        <f t="shared" si="9"/>
        <v>23.970807936564775</v>
      </c>
      <c r="Q71" s="38">
        <f t="shared" si="9"/>
        <v>13.183944365110627</v>
      </c>
      <c r="R71" s="38">
        <f t="shared" si="9"/>
        <v>10.587106838649442</v>
      </c>
      <c r="S71">
        <f t="shared" si="9"/>
        <v>39.951346560941289</v>
      </c>
      <c r="T71" s="34">
        <f t="shared" si="10"/>
        <v>10.691348670809901</v>
      </c>
      <c r="W71" s="44" t="s">
        <v>51</v>
      </c>
      <c r="X71" s="67"/>
      <c r="Y71" s="9">
        <f>Y67/4</f>
        <v>672.31829108269835</v>
      </c>
      <c r="Z71" s="9">
        <f>Y71+(1200/4)</f>
        <v>972.31829108269835</v>
      </c>
      <c r="AA71" s="67">
        <f>Z67*1.63/4</f>
        <v>1584.8788144647981</v>
      </c>
      <c r="AB71" s="74" t="s">
        <v>410</v>
      </c>
    </row>
    <row r="72" spans="1:29">
      <c r="D72" s="65">
        <f t="shared" si="11"/>
        <v>365.83147893517582</v>
      </c>
      <c r="E72" s="162">
        <v>9.6999999999999993</v>
      </c>
      <c r="F72" s="9">
        <f t="shared" si="12"/>
        <v>2.4850757921354081</v>
      </c>
      <c r="G72" s="36">
        <f t="shared" si="13"/>
        <v>24.105235183713457</v>
      </c>
      <c r="H72" s="36">
        <f t="shared" si="14"/>
        <v>20.802374415498171</v>
      </c>
      <c r="I72" s="36">
        <f t="shared" si="15"/>
        <v>86.29815995138334</v>
      </c>
      <c r="J72" s="37">
        <f t="shared" si="4"/>
        <v>3550.3969058561256</v>
      </c>
      <c r="K72" s="38">
        <f t="shared" si="16"/>
        <v>20.802374415498896</v>
      </c>
      <c r="L72" s="38">
        <f t="shared" si="17"/>
        <v>15.176432677261221</v>
      </c>
      <c r="M72" s="38">
        <f t="shared" si="18"/>
        <v>26.900792064347907</v>
      </c>
      <c r="N72" s="38">
        <f t="shared" si="19"/>
        <v>24.166076847374278</v>
      </c>
      <c r="O72" s="38">
        <f t="shared" si="20"/>
        <v>31.387372669617918</v>
      </c>
      <c r="P72" s="38">
        <f t="shared" si="9"/>
        <v>23.540529502213438</v>
      </c>
      <c r="Q72" s="38">
        <f t="shared" si="9"/>
        <v>12.947291226217391</v>
      </c>
      <c r="R72" s="38">
        <f t="shared" si="9"/>
        <v>10.397067196810935</v>
      </c>
      <c r="S72">
        <f t="shared" si="9"/>
        <v>39.234215837022397</v>
      </c>
      <c r="T72" s="34">
        <f t="shared" si="10"/>
        <v>10.68741391149573</v>
      </c>
      <c r="W72" s="156" t="s">
        <v>152</v>
      </c>
      <c r="X72" s="76"/>
      <c r="Y72" s="136">
        <f>AA64</f>
        <v>10000</v>
      </c>
      <c r="Z72" s="76" t="s">
        <v>406</v>
      </c>
      <c r="AA72" s="76"/>
      <c r="AB72" s="77"/>
    </row>
    <row r="73" spans="1:29" ht="16">
      <c r="D73" s="65">
        <f t="shared" si="11"/>
        <v>373.03569709775576</v>
      </c>
      <c r="E73" s="162">
        <v>9.8000000000000007</v>
      </c>
      <c r="F73" s="9">
        <f t="shared" si="12"/>
        <v>2.5300751578885046</v>
      </c>
      <c r="G73" s="36">
        <f t="shared" si="13"/>
        <v>24.794736547307348</v>
      </c>
      <c r="H73" s="36">
        <f t="shared" si="14"/>
        <v>21.419872881790507</v>
      </c>
      <c r="I73" s="9">
        <f t="shared" si="15"/>
        <v>86.388789979366237</v>
      </c>
      <c r="J73" s="37">
        <f t="shared" si="4"/>
        <v>3585.1849652216365</v>
      </c>
      <c r="K73" s="38">
        <f t="shared" si="16"/>
        <v>21.419872881790578</v>
      </c>
      <c r="L73" s="2">
        <f t="shared" si="17"/>
        <v>15.044955060765369</v>
      </c>
      <c r="M73" s="38">
        <f t="shared" si="18"/>
        <v>27.699316190006858</v>
      </c>
      <c r="N73" s="38">
        <f t="shared" si="19"/>
        <v>24.88342358344795</v>
      </c>
      <c r="O73" s="38">
        <f t="shared" si="20"/>
        <v>30.829123694924363</v>
      </c>
      <c r="P73" s="38">
        <f t="shared" si="9"/>
        <v>23.121842771193272</v>
      </c>
      <c r="Q73" s="38">
        <f t="shared" si="9"/>
        <v>12.7170135241563</v>
      </c>
      <c r="R73" s="38">
        <f t="shared" si="9"/>
        <v>10.212147223943695</v>
      </c>
      <c r="S73">
        <f t="shared" si="9"/>
        <v>38.536404618655453</v>
      </c>
      <c r="T73" s="34">
        <f t="shared" si="10"/>
        <v>10.68347768930421</v>
      </c>
      <c r="W73" s="82" t="s">
        <v>230</v>
      </c>
      <c r="X73" s="83"/>
      <c r="Y73" s="83"/>
      <c r="Z73" s="83"/>
      <c r="AA73" s="83"/>
      <c r="AB73" s="83"/>
      <c r="AC73" s="84"/>
    </row>
    <row r="74" spans="1:29" ht="16">
      <c r="D74" s="65">
        <f t="shared" si="11"/>
        <v>380.30247544724784</v>
      </c>
      <c r="E74" s="162">
        <v>9.9</v>
      </c>
      <c r="F74" s="9">
        <f t="shared" si="12"/>
        <v>2.5754652903657802</v>
      </c>
      <c r="G74" s="36">
        <f t="shared" si="13"/>
        <v>25.497106374621225</v>
      </c>
      <c r="H74" s="36">
        <f t="shared" si="14"/>
        <v>22.048803557707846</v>
      </c>
      <c r="I74" s="9">
        <f t="shared" si="15"/>
        <v>86.475709179510346</v>
      </c>
      <c r="J74" s="37">
        <f t="shared" si="4"/>
        <v>3619.9364488217634</v>
      </c>
      <c r="K74" s="38">
        <f t="shared" si="16"/>
        <v>22.048803557708268</v>
      </c>
      <c r="L74" s="2">
        <f t="shared" si="17"/>
        <v>14.915515112169173</v>
      </c>
      <c r="M74" s="38">
        <f t="shared" si="18"/>
        <v>28.512623988329434</v>
      </c>
      <c r="N74" s="38">
        <f t="shared" si="19"/>
        <v>25.61405109463119</v>
      </c>
      <c r="O74" s="38">
        <f t="shared" si="20"/>
        <v>30.285789636451305</v>
      </c>
      <c r="P74" s="38">
        <f t="shared" si="9"/>
        <v>22.714342227338481</v>
      </c>
      <c r="Q74" s="38">
        <f t="shared" si="9"/>
        <v>12.492888225036165</v>
      </c>
      <c r="R74" s="38">
        <f t="shared" si="9"/>
        <v>10.032167817074495</v>
      </c>
      <c r="S74">
        <f t="shared" si="9"/>
        <v>37.857237045564133</v>
      </c>
      <c r="T74" s="34">
        <f t="shared" si="10"/>
        <v>10.679540002602508</v>
      </c>
      <c r="W74" s="126" t="str">
        <f>W64</f>
        <v>4 x Turnigy nano-tech 5000mah 3S 65~130C Lipo Pack</v>
      </c>
      <c r="X74" s="123"/>
      <c r="Y74" s="123"/>
      <c r="Z74" s="123"/>
      <c r="AA74" s="86"/>
      <c r="AB74" s="86"/>
      <c r="AC74" s="87"/>
    </row>
    <row r="75" spans="1:29">
      <c r="D75" s="65">
        <f t="shared" si="11"/>
        <v>387.63161707241778</v>
      </c>
      <c r="E75" s="162">
        <v>10</v>
      </c>
      <c r="F75" s="9">
        <f t="shared" si="12"/>
        <v>2.6212449596101783</v>
      </c>
      <c r="G75" s="36">
        <f t="shared" si="13"/>
        <v>26.212449596101784</v>
      </c>
      <c r="H75" s="36">
        <f t="shared" si="14"/>
        <v>22.689247320975444</v>
      </c>
      <c r="I75" s="36">
        <f t="shared" si="15"/>
        <v>86.559049881204928</v>
      </c>
      <c r="J75" s="37">
        <f t="shared" si="4"/>
        <v>3654.6514717804871</v>
      </c>
      <c r="K75" s="38">
        <f t="shared" si="16"/>
        <v>22.689247320975017</v>
      </c>
      <c r="L75" s="38">
        <f t="shared" si="17"/>
        <v>14.788072959425543</v>
      </c>
      <c r="M75" s="38">
        <f t="shared" si="18"/>
        <v>29.340820047126996</v>
      </c>
      <c r="N75" s="38">
        <f t="shared" si="19"/>
        <v>26.358053336413491</v>
      </c>
      <c r="O75" s="38">
        <f t="shared" si="20"/>
        <v>29.756852641349425</v>
      </c>
      <c r="P75" s="38">
        <f t="shared" si="9"/>
        <v>22.317639481012069</v>
      </c>
      <c r="Q75" s="38">
        <f t="shared" si="9"/>
        <v>12.274701714556638</v>
      </c>
      <c r="R75" s="38">
        <f t="shared" si="9"/>
        <v>9.8569574374469973</v>
      </c>
      <c r="S75">
        <f t="shared" si="9"/>
        <v>37.196065801686778</v>
      </c>
      <c r="T75" s="34">
        <f t="shared" si="10"/>
        <v>10.675600849754746</v>
      </c>
      <c r="W75" s="11" t="s">
        <v>425</v>
      </c>
      <c r="X75" s="12" t="s">
        <v>25</v>
      </c>
      <c r="Y75" s="12" t="s">
        <v>320</v>
      </c>
      <c r="Z75" s="157" t="s">
        <v>118</v>
      </c>
      <c r="AA75" s="71" t="s">
        <v>153</v>
      </c>
      <c r="AB75" s="67">
        <f>AB64</f>
        <v>1768</v>
      </c>
      <c r="AC75" s="72" t="s">
        <v>154</v>
      </c>
    </row>
    <row r="76" spans="1:29">
      <c r="D76" s="65">
        <f t="shared" si="11"/>
        <v>395.02292609285644</v>
      </c>
      <c r="E76" s="162">
        <v>10.1</v>
      </c>
      <c r="F76" s="9">
        <f t="shared" si="12"/>
        <v>2.6674129421029433</v>
      </c>
      <c r="G76" s="36">
        <f t="shared" si="13"/>
        <v>26.940870715239726</v>
      </c>
      <c r="H76" s="36">
        <f t="shared" si="14"/>
        <v>23.341284503573078</v>
      </c>
      <c r="I76" s="9">
        <f t="shared" si="15"/>
        <v>86.638938846061649</v>
      </c>
      <c r="J76" s="37">
        <f t="shared" si="4"/>
        <v>3689.330148619164</v>
      </c>
      <c r="K76" s="38">
        <f t="shared" si="16"/>
        <v>23.34128450357305</v>
      </c>
      <c r="L76" s="2">
        <f t="shared" si="17"/>
        <v>14.662589426606862</v>
      </c>
      <c r="M76" s="38">
        <f t="shared" si="18"/>
        <v>30.184008248480797</v>
      </c>
      <c r="N76" s="38">
        <f t="shared" si="19"/>
        <v>27.115523630298284</v>
      </c>
      <c r="O76" s="38">
        <f t="shared" si="20"/>
        <v>29.241816581464928</v>
      </c>
      <c r="P76" s="38">
        <f t="shared" si="9"/>
        <v>21.931362436098699</v>
      </c>
      <c r="Q76" s="38">
        <f t="shared" si="9"/>
        <v>12.062249339854283</v>
      </c>
      <c r="R76" s="38">
        <f t="shared" si="9"/>
        <v>9.6863517426102579</v>
      </c>
      <c r="S76">
        <f t="shared" si="9"/>
        <v>36.552270726831161</v>
      </c>
      <c r="T76" s="34">
        <f t="shared" si="10"/>
        <v>10.671660229122008</v>
      </c>
      <c r="W76" s="158">
        <f>E189</f>
        <v>21.400000000000201</v>
      </c>
      <c r="X76" s="159">
        <f>D189</f>
        <v>1588.6023067590224</v>
      </c>
      <c r="Y76" s="129">
        <f>L189</f>
        <v>7.3333140000665873</v>
      </c>
      <c r="Z76" s="159">
        <f>S189</f>
        <v>9.6317118488611797</v>
      </c>
      <c r="AB76" s="67">
        <f>AA64/4000</f>
        <v>2.5</v>
      </c>
      <c r="AC76" s="132" t="s">
        <v>394</v>
      </c>
    </row>
    <row r="77" spans="1:29">
      <c r="D77" s="65">
        <f t="shared" si="11"/>
        <v>402.47620765142568</v>
      </c>
      <c r="E77" s="162">
        <v>10.199999999999999</v>
      </c>
      <c r="F77" s="9">
        <f t="shared" si="12"/>
        <v>2.7139680207173451</v>
      </c>
      <c r="G77" s="36">
        <f t="shared" si="13"/>
        <v>27.682473811316918</v>
      </c>
      <c r="H77" s="36">
        <f t="shared" si="14"/>
        <v>24.004994896117008</v>
      </c>
      <c r="I77" s="36">
        <f t="shared" si="15"/>
        <v>86.715497537302781</v>
      </c>
      <c r="J77" s="37">
        <f t="shared" si="4"/>
        <v>3723.9725932608562</v>
      </c>
      <c r="K77" s="38">
        <f t="shared" si="16"/>
        <v>24.004994896117147</v>
      </c>
      <c r="L77" s="38">
        <f t="shared" si="17"/>
        <v>14.539026042061629</v>
      </c>
      <c r="M77" s="38">
        <f t="shared" si="18"/>
        <v>31.042291774397576</v>
      </c>
      <c r="N77" s="38">
        <f t="shared" si="19"/>
        <v>27.886554668883534</v>
      </c>
      <c r="O77" s="38">
        <f t="shared" si="20"/>
        <v>28.740206002642342</v>
      </c>
      <c r="P77" s="38">
        <f t="shared" si="9"/>
        <v>21.555154501981757</v>
      </c>
      <c r="Q77" s="38">
        <f t="shared" si="9"/>
        <v>11.855334976089967</v>
      </c>
      <c r="R77" s="38">
        <f t="shared" si="9"/>
        <v>9.5201932383752759</v>
      </c>
      <c r="S77">
        <f t="shared" si="9"/>
        <v>35.92525750330293</v>
      </c>
      <c r="T77" s="34">
        <f t="shared" si="10"/>
        <v>10.667718139062314</v>
      </c>
      <c r="W77" s="14">
        <f>IF(AA71&lt;D189,INDEX(D63:O189,MATCH(AA71,D63:D189,1)+1,2),E189)</f>
        <v>21.400000000000201</v>
      </c>
      <c r="X77" s="42">
        <f>IF(AA71&lt;D189,INDEX(D63:O189,MATCH(AA71,D63:D189,1)+1,1),D189)</f>
        <v>1588.6023067590224</v>
      </c>
      <c r="Y77" s="67">
        <f>IF(AA71&lt;D189,INDEX(D63:O189,MATCH(AA71,D63:D189,1)+1,9),L189)</f>
        <v>7.3333140000665873</v>
      </c>
      <c r="Z77" s="42">
        <f>IF(AA71&lt;D189,INDEX(D63:S189,MATCH(AA71,D63:D189,1)+1,16),S189)</f>
        <v>9.6317118488611797</v>
      </c>
      <c r="AA77" s="67"/>
      <c r="AB77" s="67"/>
      <c r="AC77" s="74"/>
    </row>
    <row r="78" spans="1:29">
      <c r="D78" s="65">
        <f t="shared" si="11"/>
        <v>409.99126790680015</v>
      </c>
      <c r="E78" s="162">
        <v>10.3</v>
      </c>
      <c r="F78" s="9">
        <f t="shared" si="12"/>
        <v>2.760908984671492</v>
      </c>
      <c r="G78" s="36">
        <f t="shared" si="13"/>
        <v>28.437362542116372</v>
      </c>
      <c r="H78" s="36">
        <f t="shared" si="14"/>
        <v>24.680457752187053</v>
      </c>
      <c r="I78" s="9">
        <f t="shared" si="15"/>
        <v>86.788842374656724</v>
      </c>
      <c r="J78" s="37">
        <f t="shared" si="4"/>
        <v>3758.5789190347482</v>
      </c>
      <c r="K78" s="38">
        <f t="shared" si="16"/>
        <v>24.680457752187383</v>
      </c>
      <c r="L78" s="2">
        <f t="shared" si="17"/>
        <v>14.417345043851865</v>
      </c>
      <c r="M78" s="38">
        <f t="shared" si="18"/>
        <v>31.915773112412449</v>
      </c>
      <c r="N78" s="38">
        <f t="shared" si="19"/>
        <v>28.671238520895098</v>
      </c>
      <c r="O78" s="38">
        <f t="shared" si="20"/>
        <v>28.251565130561836</v>
      </c>
      <c r="P78" s="38">
        <f t="shared" si="9"/>
        <v>21.188673847921375</v>
      </c>
      <c r="Q78" s="38">
        <f t="shared" si="9"/>
        <v>11.653770616356757</v>
      </c>
      <c r="R78" s="38">
        <f t="shared" si="9"/>
        <v>9.3583309494986082</v>
      </c>
      <c r="S78">
        <f t="shared" si="9"/>
        <v>35.314456413202294</v>
      </c>
      <c r="T78" s="34">
        <f t="shared" si="10"/>
        <v>10.663774577930624</v>
      </c>
      <c r="W78" s="14">
        <f>INDEX(D63:O189,MATCH(Z71,D63:D189,1)+1,2)</f>
        <v>16.400000000000102</v>
      </c>
      <c r="X78" s="42">
        <f>INDEX(D63:O189,MATCH(Z71,D63:D189,1)+1,1)</f>
        <v>978.12534879516136</v>
      </c>
      <c r="Y78" s="67">
        <f>INDEX(D63:O189,MATCH(Z71,D63:D189,1)+1,9)</f>
        <v>9.4525200098446156</v>
      </c>
      <c r="Z78" s="42">
        <f>INDEX(D63:S189,MATCH(Z71,D63:D189,1)+1,16)</f>
        <v>15.452599724932519</v>
      </c>
      <c r="AA78" s="67"/>
      <c r="AB78" s="67">
        <f>AB75/AB76</f>
        <v>707.2</v>
      </c>
      <c r="AC78" s="74"/>
    </row>
    <row r="79" spans="1:29">
      <c r="D79" s="65">
        <f t="shared" si="11"/>
        <v>417.56791402606478</v>
      </c>
      <c r="E79" s="162">
        <v>10.4</v>
      </c>
      <c r="F79" s="9">
        <f t="shared" si="12"/>
        <v>2.8082346294823335</v>
      </c>
      <c r="G79" s="36">
        <f t="shared" si="13"/>
        <v>29.205640146616268</v>
      </c>
      <c r="H79" s="36">
        <f t="shared" si="14"/>
        <v>25.36775179261771</v>
      </c>
      <c r="I79" s="9">
        <f t="shared" si="15"/>
        <v>86.859084975601149</v>
      </c>
      <c r="J79" s="37">
        <f t="shared" si="4"/>
        <v>3793.1492386804534</v>
      </c>
      <c r="K79" s="38">
        <f t="shared" si="16"/>
        <v>25.367751792617998</v>
      </c>
      <c r="L79" s="2">
        <f t="shared" si="17"/>
        <v>14.297509382770496</v>
      </c>
      <c r="M79" s="38">
        <f t="shared" si="18"/>
        <v>32.804554061135008</v>
      </c>
      <c r="N79" s="38">
        <f t="shared" si="19"/>
        <v>29.469666636168988</v>
      </c>
      <c r="O79" s="38">
        <f t="shared" si="20"/>
        <v>27.775456929814453</v>
      </c>
      <c r="P79" s="38">
        <f t="shared" si="9"/>
        <v>20.83159269736084</v>
      </c>
      <c r="Q79" s="38">
        <f t="shared" si="9"/>
        <v>11.457375983548463</v>
      </c>
      <c r="R79" s="38">
        <f t="shared" si="9"/>
        <v>9.2006201080010381</v>
      </c>
      <c r="S79">
        <f t="shared" si="9"/>
        <v>34.719321162268066</v>
      </c>
      <c r="T79" s="34">
        <f t="shared" si="10"/>
        <v>10.659829544078825</v>
      </c>
      <c r="W79" s="16">
        <f>INDEX(D63:O189,MATCH(Y71,D63:D189,1)+1,2)</f>
        <v>13.4</v>
      </c>
      <c r="X79" s="43">
        <f>INDEX(D63:O189,MATCH(Y71,D63:D189,1)+1,1)</f>
        <v>672.5875857895569</v>
      </c>
      <c r="Y79" s="76">
        <f>INDEX(D63:O189,MATCH(Y71,D63:D189,1)+1,9)</f>
        <v>11.404537864934092</v>
      </c>
      <c r="Z79" s="43">
        <f>INDEX(D63:S189,MATCH(Y71,D63:D189,1)+1,16)</f>
        <v>22.153291311562207</v>
      </c>
      <c r="AA79" s="76"/>
      <c r="AB79" s="76"/>
      <c r="AC79" s="77"/>
    </row>
    <row r="80" spans="1:29">
      <c r="D80" s="65">
        <f t="shared" si="11"/>
        <v>425.20595417738832</v>
      </c>
      <c r="E80" s="162">
        <v>10.5</v>
      </c>
      <c r="F80" s="9">
        <f t="shared" si="12"/>
        <v>2.8559437569198005</v>
      </c>
      <c r="G80" s="36">
        <f t="shared" ref="G80:G143" si="21">E80*F80</f>
        <v>29.987409447657907</v>
      </c>
      <c r="H80" s="36">
        <f t="shared" ref="H80:H143" si="22">(E80-($B$69+$B$70)*F80)*(F80-$B$63)</f>
        <v>26.066955209744652</v>
      </c>
      <c r="I80" s="9">
        <f t="shared" ref="I80:I143" si="23">H80/G80*100</f>
        <v>86.926332383741638</v>
      </c>
      <c r="J80" s="37">
        <f t="shared" ref="J80:J143" si="24">$B$68*(E80-(F80*($B$69+$B$70)))</f>
        <v>3827.683664352307</v>
      </c>
      <c r="K80" s="38">
        <f t="shared" ref="K80:K143" si="25">(($B$61*0.0254)^4)*($B$62*0.0254)*(J80^3)*2*$B$65*0.00000018</f>
        <v>26.066955209744748</v>
      </c>
      <c r="L80" s="2">
        <f t="shared" si="17"/>
        <v>14.179482723226631</v>
      </c>
      <c r="M80" s="38">
        <f t="shared" si="18"/>
        <v>33.70873573574206</v>
      </c>
      <c r="N80" s="38">
        <f t="shared" si="19"/>
        <v>30.281929850585637</v>
      </c>
      <c r="O80" s="38">
        <f t="shared" si="20"/>
        <v>27.311462213151128</v>
      </c>
      <c r="P80" s="38">
        <f t="shared" si="9"/>
        <v>20.483596659863348</v>
      </c>
      <c r="Q80" s="38">
        <f t="shared" si="9"/>
        <v>11.26597816292484</v>
      </c>
      <c r="R80" s="38">
        <f t="shared" si="9"/>
        <v>9.0469218581063124</v>
      </c>
      <c r="S80">
        <f t="shared" si="9"/>
        <v>34.13932776643891</v>
      </c>
      <c r="T80" s="34">
        <f t="shared" si="10"/>
        <v>10.655883035855723</v>
      </c>
    </row>
    <row r="81" spans="4:20">
      <c r="D81" s="65">
        <f t="shared" si="11"/>
        <v>432.9051975227606</v>
      </c>
      <c r="E81" s="162">
        <v>10.6</v>
      </c>
      <c r="F81" s="9">
        <f t="shared" si="12"/>
        <v>2.904035174961439</v>
      </c>
      <c r="G81" s="36">
        <f t="shared" si="21"/>
        <v>30.782772854591254</v>
      </c>
      <c r="H81" s="36">
        <f t="shared" si="22"/>
        <v>26.778145671610201</v>
      </c>
      <c r="I81" s="9">
        <f t="shared" si="23"/>
        <v>86.99068728506775</v>
      </c>
      <c r="J81" s="37">
        <f t="shared" si="24"/>
        <v>3862.1823076236087</v>
      </c>
      <c r="K81" s="38">
        <f t="shared" si="25"/>
        <v>26.77814567161051</v>
      </c>
      <c r="L81" s="2">
        <f t="shared" si="17"/>
        <v>14.063229442249311</v>
      </c>
      <c r="M81" s="38">
        <f t="shared" si="18"/>
        <v>34.62841857341585</v>
      </c>
      <c r="N81" s="38">
        <f t="shared" si="19"/>
        <v>31.108118390955457</v>
      </c>
      <c r="O81" s="38">
        <f t="shared" si="20"/>
        <v>26.859178798010156</v>
      </c>
      <c r="P81" s="38">
        <f t="shared" si="9"/>
        <v>20.144384098507615</v>
      </c>
      <c r="Q81" s="38">
        <f t="shared" si="9"/>
        <v>11.079411254179188</v>
      </c>
      <c r="R81" s="38">
        <f t="shared" si="9"/>
        <v>8.8971029768408645</v>
      </c>
      <c r="S81">
        <f t="shared" si="9"/>
        <v>33.573973497512696</v>
      </c>
      <c r="T81" s="34">
        <f t="shared" si="10"/>
        <v>10.651935051607042</v>
      </c>
    </row>
    <row r="82" spans="4:20">
      <c r="D82" s="65">
        <f t="shared" si="11"/>
        <v>440.66545421079798</v>
      </c>
      <c r="E82" s="162">
        <v>10.7</v>
      </c>
      <c r="F82" s="9">
        <f t="shared" si="12"/>
        <v>2.9525076977476692</v>
      </c>
      <c r="G82" s="36">
        <f t="shared" si="21"/>
        <v>31.591832365900057</v>
      </c>
      <c r="H82" s="36">
        <f t="shared" si="22"/>
        <v>27.501400326129726</v>
      </c>
      <c r="I82" s="9">
        <f t="shared" si="23"/>
        <v>87.052248212783283</v>
      </c>
      <c r="J82" s="37">
        <f t="shared" si="24"/>
        <v>3896.6452794908178</v>
      </c>
      <c r="K82" s="38">
        <f t="shared" si="25"/>
        <v>27.501400326129659</v>
      </c>
      <c r="L82" s="2">
        <f t="shared" si="17"/>
        <v>13.948714626836535</v>
      </c>
      <c r="M82" s="38">
        <f t="shared" si="18"/>
        <v>35.563702338729456</v>
      </c>
      <c r="N82" s="38">
        <f t="shared" si="19"/>
        <v>31.948321879856646</v>
      </c>
      <c r="O82" s="38">
        <f t="shared" si="20"/>
        <v>26.418220707604782</v>
      </c>
      <c r="P82" s="38">
        <f t="shared" ref="P82:S101" si="26">0.65*60*P$58/($F82*1000)</f>
        <v>19.813665530703588</v>
      </c>
      <c r="Q82" s="38">
        <f t="shared" si="26"/>
        <v>10.897516041886973</v>
      </c>
      <c r="R82" s="38">
        <f t="shared" si="26"/>
        <v>8.7510356093940853</v>
      </c>
      <c r="S82">
        <f t="shared" si="26"/>
        <v>33.022775884505982</v>
      </c>
      <c r="T82" s="34">
        <f t="shared" si="10"/>
        <v>10.647985589675404</v>
      </c>
    </row>
    <row r="83" spans="4:20">
      <c r="D83" s="65">
        <f t="shared" si="11"/>
        <v>448.48653536962263</v>
      </c>
      <c r="E83" s="162">
        <v>10.8</v>
      </c>
      <c r="F83" s="9">
        <f t="shared" si="12"/>
        <v>3.0013601455369061</v>
      </c>
      <c r="G83" s="36">
        <f t="shared" si="21"/>
        <v>32.41468957179859</v>
      </c>
      <c r="H83" s="36">
        <f t="shared" si="22"/>
        <v>28.2367958052122</v>
      </c>
      <c r="I83" s="9">
        <f t="shared" si="23"/>
        <v>87.1111097413648</v>
      </c>
      <c r="J83" s="37">
        <f t="shared" si="24"/>
        <v>3931.0726903777459</v>
      </c>
      <c r="K83" s="38">
        <f t="shared" si="25"/>
        <v>28.236795805212619</v>
      </c>
      <c r="L83" s="2">
        <f t="shared" si="17"/>
        <v>13.835904069857717</v>
      </c>
      <c r="M83" s="38">
        <f t="shared" si="18"/>
        <v>36.514686128980458</v>
      </c>
      <c r="N83" s="38">
        <f t="shared" si="19"/>
        <v>32.802629340426599</v>
      </c>
      <c r="O83" s="38">
        <f t="shared" si="20"/>
        <v>25.988217414024056</v>
      </c>
      <c r="P83" s="38">
        <f t="shared" si="26"/>
        <v>19.491163060518041</v>
      </c>
      <c r="Q83" s="38">
        <f t="shared" si="26"/>
        <v>10.720139683284923</v>
      </c>
      <c r="R83" s="38">
        <f t="shared" si="26"/>
        <v>8.6085970183954679</v>
      </c>
      <c r="S83">
        <f t="shared" si="26"/>
        <v>32.485271767530072</v>
      </c>
      <c r="T83" s="34">
        <f t="shared" si="10"/>
        <v>10.64403464840033</v>
      </c>
    </row>
    <row r="84" spans="4:20">
      <c r="D84" s="65">
        <f t="shared" si="11"/>
        <v>456.36825309979253</v>
      </c>
      <c r="E84" s="162">
        <v>10.9</v>
      </c>
      <c r="F84" s="9">
        <f t="shared" si="12"/>
        <v>3.0505913446619393</v>
      </c>
      <c r="G84" s="36">
        <f t="shared" si="21"/>
        <v>33.251445656815136</v>
      </c>
      <c r="H84" s="36">
        <f t="shared" si="22"/>
        <v>28.98440822884859</v>
      </c>
      <c r="I84" s="9">
        <f t="shared" si="23"/>
        <v>87.167362670464883</v>
      </c>
      <c r="J84" s="37">
        <f t="shared" si="24"/>
        <v>3965.4646501396428</v>
      </c>
      <c r="K84" s="38">
        <f t="shared" si="25"/>
        <v>28.984408228848814</v>
      </c>
      <c r="L84" s="2">
        <f t="shared" si="17"/>
        <v>13.724764264685628</v>
      </c>
      <c r="M84" s="38">
        <f t="shared" si="18"/>
        <v>37.481468379470911</v>
      </c>
      <c r="N84" s="38">
        <f t="shared" si="19"/>
        <v>33.67112920110516</v>
      </c>
      <c r="O84" s="38">
        <f t="shared" si="20"/>
        <v>25.568813120934038</v>
      </c>
      <c r="P84" s="38">
        <f t="shared" si="26"/>
        <v>19.176609840700529</v>
      </c>
      <c r="Q84" s="38">
        <f t="shared" si="26"/>
        <v>10.547135412385289</v>
      </c>
      <c r="R84" s="38">
        <f t="shared" si="26"/>
        <v>8.4696693463094004</v>
      </c>
      <c r="S84">
        <f t="shared" si="26"/>
        <v>31.961016401167548</v>
      </c>
      <c r="T84" s="34">
        <f t="shared" si="10"/>
        <v>10.640082226118226</v>
      </c>
    </row>
    <row r="85" spans="4:20">
      <c r="D85" s="65">
        <f t="shared" si="11"/>
        <v>464.31042046731528</v>
      </c>
      <c r="E85" s="162">
        <v>11</v>
      </c>
      <c r="F85" s="9">
        <f t="shared" si="12"/>
        <v>3.1002001274858206</v>
      </c>
      <c r="G85" s="36">
        <f t="shared" si="21"/>
        <v>34.102201402344029</v>
      </c>
      <c r="H85" s="36">
        <f t="shared" si="22"/>
        <v>29.744313209152203</v>
      </c>
      <c r="I85" s="9">
        <f t="shared" si="23"/>
        <v>87.221094199237569</v>
      </c>
      <c r="J85" s="37">
        <f t="shared" si="24"/>
        <v>3999.8212680673273</v>
      </c>
      <c r="K85" s="38">
        <f t="shared" si="25"/>
        <v>29.744313209151873</v>
      </c>
      <c r="L85" s="2">
        <f t="shared" si="17"/>
        <v>13.615262398731852</v>
      </c>
      <c r="M85" s="38">
        <f t="shared" si="18"/>
        <v>38.464146868738197</v>
      </c>
      <c r="N85" s="38">
        <f t="shared" si="19"/>
        <v>34.553909300333842</v>
      </c>
      <c r="O85" s="38">
        <f t="shared" si="20"/>
        <v>25.159666083639546</v>
      </c>
      <c r="P85" s="38">
        <f t="shared" si="26"/>
        <v>18.869749562729659</v>
      </c>
      <c r="Q85" s="38">
        <f t="shared" si="26"/>
        <v>10.378362259501312</v>
      </c>
      <c r="R85" s="38">
        <f t="shared" si="26"/>
        <v>8.3341393902055998</v>
      </c>
      <c r="S85">
        <f t="shared" si="26"/>
        <v>31.44958260454943</v>
      </c>
      <c r="T85" s="34">
        <f t="shared" si="10"/>
        <v>10.636128321162381</v>
      </c>
    </row>
    <row r="86" spans="4:20">
      <c r="D86" s="65">
        <f t="shared" si="11"/>
        <v>472.31285149671589</v>
      </c>
      <c r="E86" s="162">
        <v>11.1</v>
      </c>
      <c r="F86" s="9">
        <f t="shared" si="12"/>
        <v>3.150185332358665</v>
      </c>
      <c r="G86" s="36">
        <f t="shared" si="21"/>
        <v>34.967057189181183</v>
      </c>
      <c r="H86" s="36">
        <f t="shared" si="22"/>
        <v>30.51658585436455</v>
      </c>
      <c r="I86" s="9">
        <f t="shared" si="23"/>
        <v>87.27238809163039</v>
      </c>
      <c r="J86" s="37">
        <f t="shared" si="24"/>
        <v>4034.1426528912284</v>
      </c>
      <c r="K86" s="38">
        <f t="shared" si="25"/>
        <v>30.516585854364408</v>
      </c>
      <c r="L86" s="2">
        <f t="shared" si="17"/>
        <v>13.5073663460261</v>
      </c>
      <c r="M86" s="38">
        <f t="shared" si="18"/>
        <v>39.462818723734145</v>
      </c>
      <c r="N86" s="38">
        <f t="shared" si="19"/>
        <v>35.451056891208196</v>
      </c>
      <c r="O86" s="38">
        <f t="shared" si="20"/>
        <v>24.7604479643737</v>
      </c>
      <c r="P86" s="38">
        <f t="shared" si="26"/>
        <v>18.570335973280276</v>
      </c>
      <c r="Q86" s="38">
        <f t="shared" si="26"/>
        <v>10.213684785304151</v>
      </c>
      <c r="R86" s="38">
        <f t="shared" si="26"/>
        <v>8.2018983881987886</v>
      </c>
      <c r="S86">
        <f t="shared" si="26"/>
        <v>30.950559955467124</v>
      </c>
      <c r="T86" s="34">
        <f t="shared" si="10"/>
        <v>10.632172931862954</v>
      </c>
    </row>
    <row r="87" spans="4:20">
      <c r="D87" s="65">
        <f t="shared" si="11"/>
        <v>480.37536116416459</v>
      </c>
      <c r="E87" s="162">
        <v>11.2</v>
      </c>
      <c r="F87" s="9">
        <f t="shared" si="12"/>
        <v>3.200545803575007</v>
      </c>
      <c r="G87" s="36">
        <f t="shared" si="21"/>
        <v>35.846113000040077</v>
      </c>
      <c r="H87" s="36">
        <f t="shared" si="22"/>
        <v>31.301300772824096</v>
      </c>
      <c r="I87" s="9">
        <f t="shared" si="23"/>
        <v>87.321324833153042</v>
      </c>
      <c r="J87" s="37">
        <f t="shared" si="24"/>
        <v>4068.428912785379</v>
      </c>
      <c r="K87" s="38">
        <f t="shared" si="25"/>
        <v>31.301300772823915</v>
      </c>
      <c r="L87" s="2">
        <f t="shared" si="17"/>
        <v>13.401044658973973</v>
      </c>
      <c r="M87" s="38">
        <f t="shared" si="18"/>
        <v>40.477580424953359</v>
      </c>
      <c r="N87" s="38">
        <f t="shared" si="19"/>
        <v>36.362658646085016</v>
      </c>
      <c r="O87" s="38">
        <f t="shared" si="20"/>
        <v>24.370843220826291</v>
      </c>
      <c r="P87" s="38">
        <f t="shared" si="26"/>
        <v>18.278132415619719</v>
      </c>
      <c r="Q87" s="38">
        <f t="shared" si="26"/>
        <v>10.052972828590846</v>
      </c>
      <c r="R87" s="38">
        <f t="shared" si="26"/>
        <v>8.0728418168987091</v>
      </c>
      <c r="S87">
        <f t="shared" si="26"/>
        <v>30.463554026032867</v>
      </c>
      <c r="T87" s="34">
        <f t="shared" si="10"/>
        <v>10.628216056546965</v>
      </c>
    </row>
    <row r="88" spans="4:20">
      <c r="D88" s="65">
        <f t="shared" si="11"/>
        <v>488.49776539067932</v>
      </c>
      <c r="E88" s="162">
        <v>11.3</v>
      </c>
      <c r="F88" s="9">
        <f t="shared" si="12"/>
        <v>3.2512803913310169</v>
      </c>
      <c r="G88" s="36">
        <f t="shared" si="21"/>
        <v>36.739468422040495</v>
      </c>
      <c r="H88" s="36">
        <f t="shared" si="22"/>
        <v>32.098532076891523</v>
      </c>
      <c r="I88" s="9">
        <f t="shared" si="23"/>
        <v>87.367981779603497</v>
      </c>
      <c r="J88" s="37">
        <f t="shared" si="24"/>
        <v>4102.6801553714167</v>
      </c>
      <c r="K88" s="38">
        <f t="shared" si="25"/>
        <v>32.098532076891345</v>
      </c>
      <c r="L88" s="2">
        <f t="shared" si="17"/>
        <v>13.296266559415514</v>
      </c>
      <c r="M88" s="38">
        <f t="shared" si="18"/>
        <v>41.508527811513645</v>
      </c>
      <c r="N88" s="38">
        <f t="shared" si="19"/>
        <v>37.288800661146141</v>
      </c>
      <c r="O88" s="38">
        <f t="shared" si="20"/>
        <v>23.990548526043359</v>
      </c>
      <c r="P88" s="38">
        <f t="shared" si="26"/>
        <v>17.99291139453252</v>
      </c>
      <c r="Q88" s="38">
        <f t="shared" si="26"/>
        <v>9.8961012669928863</v>
      </c>
      <c r="R88" s="38">
        <f t="shared" si="26"/>
        <v>7.9468691992518625</v>
      </c>
      <c r="S88">
        <f t="shared" si="26"/>
        <v>29.988185657554197</v>
      </c>
      <c r="T88" s="34">
        <f t="shared" si="10"/>
        <v>10.624257693538295</v>
      </c>
    </row>
    <row r="89" spans="4:20">
      <c r="D89" s="65">
        <f t="shared" si="11"/>
        <v>496.6798810353821</v>
      </c>
      <c r="E89" s="162">
        <v>11.4</v>
      </c>
      <c r="F89" s="9">
        <f t="shared" si="12"/>
        <v>3.3023879516824914</v>
      </c>
      <c r="G89" s="36">
        <f t="shared" si="21"/>
        <v>37.647222649180407</v>
      </c>
      <c r="H89" s="36">
        <f t="shared" si="22"/>
        <v>32.908353386840915</v>
      </c>
      <c r="I89" s="9">
        <f t="shared" si="23"/>
        <v>87.412433298203325</v>
      </c>
      <c r="J89" s="37">
        <f t="shared" si="24"/>
        <v>4136.8964877225189</v>
      </c>
      <c r="K89" s="38">
        <f t="shared" si="25"/>
        <v>32.908353386841171</v>
      </c>
      <c r="L89" s="2">
        <f t="shared" si="17"/>
        <v>13.193001929086394</v>
      </c>
      <c r="M89" s="38">
        <f t="shared" si="18"/>
        <v>42.555756086186307</v>
      </c>
      <c r="N89" s="38">
        <f t="shared" si="19"/>
        <v>38.229568460917477</v>
      </c>
      <c r="O89" s="38">
        <f t="shared" si="20"/>
        <v>23.619272217929687</v>
      </c>
      <c r="P89" s="38">
        <f t="shared" si="26"/>
        <v>17.714454163447268</v>
      </c>
      <c r="Q89" s="38">
        <f t="shared" si="26"/>
        <v>9.7429497898959969</v>
      </c>
      <c r="R89" s="38">
        <f t="shared" si="26"/>
        <v>7.8238839221892098</v>
      </c>
      <c r="S89">
        <f t="shared" si="26"/>
        <v>29.52409027241211</v>
      </c>
      <c r="T89" s="34">
        <f t="shared" si="10"/>
        <v>10.620297841157667</v>
      </c>
    </row>
    <row r="90" spans="4:20">
      <c r="D90" s="65">
        <f t="shared" si="11"/>
        <v>504.92152588881765</v>
      </c>
      <c r="E90" s="162">
        <v>11.5</v>
      </c>
      <c r="F90" s="9">
        <f t="shared" si="12"/>
        <v>3.3538673465032556</v>
      </c>
      <c r="G90" s="36">
        <f t="shared" si="21"/>
        <v>38.569474484787442</v>
      </c>
      <c r="H90" s="36">
        <f t="shared" si="22"/>
        <v>33.730837834713803</v>
      </c>
      <c r="I90" s="9">
        <f t="shared" si="23"/>
        <v>87.454750901565717</v>
      </c>
      <c r="J90" s="37">
        <f t="shared" si="24"/>
        <v>4171.0780163672953</v>
      </c>
      <c r="K90" s="38">
        <f t="shared" si="25"/>
        <v>33.730837834713931</v>
      </c>
      <c r="L90" s="2">
        <f t="shared" si="17"/>
        <v>13.091221299578988</v>
      </c>
      <c r="M90" s="38">
        <f t="shared" si="18"/>
        <v>43.619359820378335</v>
      </c>
      <c r="N90" s="38">
        <f t="shared" si="19"/>
        <v>39.185047002744639</v>
      </c>
      <c r="O90" s="38">
        <f t="shared" si="20"/>
        <v>23.256733776701946</v>
      </c>
      <c r="P90" s="38">
        <f t="shared" si="26"/>
        <v>17.442550332526459</v>
      </c>
      <c r="Q90" s="38">
        <f t="shared" si="26"/>
        <v>9.593402682889554</v>
      </c>
      <c r="R90" s="38">
        <f t="shared" si="26"/>
        <v>7.7037930635325198</v>
      </c>
      <c r="S90">
        <f t="shared" si="26"/>
        <v>29.070917220877433</v>
      </c>
      <c r="T90" s="34">
        <f t="shared" si="10"/>
        <v>10.616336497722642</v>
      </c>
    </row>
    <row r="91" spans="4:20">
      <c r="D91" s="65">
        <f t="shared" si="11"/>
        <v>513.22251866633974</v>
      </c>
      <c r="E91" s="162">
        <v>11.6</v>
      </c>
      <c r="F91" s="9">
        <f t="shared" si="12"/>
        <v>3.4057174434435713</v>
      </c>
      <c r="G91" s="36">
        <f t="shared" si="21"/>
        <v>39.506322343945428</v>
      </c>
      <c r="H91" s="36">
        <f t="shared" si="22"/>
        <v>34.56605806813252</v>
      </c>
      <c r="I91" s="9">
        <f t="shared" si="23"/>
        <v>87.495003374896442</v>
      </c>
      <c r="J91" s="37">
        <f t="shared" si="24"/>
        <v>4205.2248472936817</v>
      </c>
      <c r="K91" s="38">
        <f t="shared" si="25"/>
        <v>34.566058068132627</v>
      </c>
      <c r="L91" s="2">
        <f t="shared" si="17"/>
        <v>12.990895841890332</v>
      </c>
      <c r="M91" s="38">
        <f t="shared" si="18"/>
        <v>44.699432959067366</v>
      </c>
      <c r="N91" s="38">
        <f t="shared" si="19"/>
        <v>40.155320681226264</v>
      </c>
      <c r="O91" s="38">
        <f t="shared" si="20"/>
        <v>22.902663328738466</v>
      </c>
      <c r="P91" s="38">
        <f t="shared" si="26"/>
        <v>17.176997496553849</v>
      </c>
      <c r="Q91" s="38">
        <f t="shared" si="26"/>
        <v>9.4473486231046166</v>
      </c>
      <c r="R91" s="38">
        <f t="shared" si="26"/>
        <v>7.5865072276446162</v>
      </c>
      <c r="S91">
        <f t="shared" si="26"/>
        <v>28.62832916092308</v>
      </c>
      <c r="T91" s="34">
        <f t="shared" si="10"/>
        <v>10.612373661547615</v>
      </c>
    </row>
    <row r="92" spans="4:20">
      <c r="D92" s="65">
        <f t="shared" si="11"/>
        <v>521.58267900154908</v>
      </c>
      <c r="E92" s="162">
        <v>11.7</v>
      </c>
      <c r="F92" s="9">
        <f t="shared" si="12"/>
        <v>3.4579371158893832</v>
      </c>
      <c r="G92" s="36">
        <f t="shared" si="21"/>
        <v>40.457864255905783</v>
      </c>
      <c r="H92" s="36">
        <f t="shared" si="22"/>
        <v>35.414086254081575</v>
      </c>
      <c r="I92" s="9">
        <f t="shared" si="23"/>
        <v>87.533256896802342</v>
      </c>
      <c r="J92" s="37">
        <f t="shared" si="24"/>
        <v>4239.3370859527531</v>
      </c>
      <c r="K92" s="38">
        <f t="shared" si="25"/>
        <v>35.414086254081575</v>
      </c>
      <c r="L92" s="2">
        <f t="shared" si="17"/>
        <v>12.891997355629362</v>
      </c>
      <c r="M92" s="38">
        <f t="shared" si="18"/>
        <v>45.796068825688543</v>
      </c>
      <c r="N92" s="38">
        <f t="shared" si="19"/>
        <v>41.140473332604017</v>
      </c>
      <c r="O92" s="38">
        <f t="shared" si="20"/>
        <v>22.556801175355776</v>
      </c>
      <c r="P92" s="38">
        <f t="shared" si="26"/>
        <v>16.917600881516833</v>
      </c>
      <c r="Q92" s="38">
        <f t="shared" si="26"/>
        <v>9.3046804848342575</v>
      </c>
      <c r="R92" s="38">
        <f t="shared" si="26"/>
        <v>7.4719403893366003</v>
      </c>
      <c r="S92">
        <f t="shared" si="26"/>
        <v>28.196001469194719</v>
      </c>
      <c r="T92" s="34">
        <f t="shared" si="10"/>
        <v>10.608409330943797</v>
      </c>
    </row>
    <row r="93" spans="4:20">
      <c r="D93" s="65">
        <f t="shared" si="11"/>
        <v>530.00182743979701</v>
      </c>
      <c r="E93" s="162">
        <v>11.8</v>
      </c>
      <c r="F93" s="9">
        <f t="shared" si="12"/>
        <v>3.5105252429216307</v>
      </c>
      <c r="G93" s="36">
        <f t="shared" si="21"/>
        <v>41.424197866475247</v>
      </c>
      <c r="H93" s="36">
        <f t="shared" si="22"/>
        <v>36.27499408264989</v>
      </c>
      <c r="I93" s="9">
        <f t="shared" si="23"/>
        <v>87.5695751540608</v>
      </c>
      <c r="J93" s="37">
        <f t="shared" si="24"/>
        <v>4273.4148372625359</v>
      </c>
      <c r="K93" s="38">
        <f t="shared" si="25"/>
        <v>36.274994082649812</v>
      </c>
      <c r="L93" s="2">
        <f t="shared" si="17"/>
        <v>12.79449825795491</v>
      </c>
      <c r="M93" s="38">
        <f t="shared" si="18"/>
        <v>46.90936012697523</v>
      </c>
      <c r="N93" s="38">
        <f t="shared" si="19"/>
        <v>42.140588239111295</v>
      </c>
      <c r="O93" s="38">
        <f t="shared" si="20"/>
        <v>22.218897345140462</v>
      </c>
      <c r="P93" s="38">
        <f t="shared" si="26"/>
        <v>16.664173008855347</v>
      </c>
      <c r="Q93" s="38">
        <f t="shared" si="26"/>
        <v>9.1652951548704404</v>
      </c>
      <c r="R93" s="38">
        <f t="shared" si="26"/>
        <v>7.360009745577778</v>
      </c>
      <c r="S93">
        <f t="shared" si="26"/>
        <v>27.773621681425578</v>
      </c>
      <c r="T93" s="34">
        <f t="shared" si="10"/>
        <v>10.604443504219219</v>
      </c>
    </row>
    <row r="94" spans="4:20">
      <c r="D94" s="65">
        <f t="shared" si="11"/>
        <v>538.47978543174384</v>
      </c>
      <c r="E94" s="162">
        <v>11.9</v>
      </c>
      <c r="F94" s="9">
        <f t="shared" si="12"/>
        <v>3.563480709276055</v>
      </c>
      <c r="G94" s="36">
        <f t="shared" si="21"/>
        <v>42.405420440385058</v>
      </c>
      <c r="H94" s="36">
        <f t="shared" si="22"/>
        <v>37.148852770738486</v>
      </c>
      <c r="I94" s="9">
        <f t="shared" si="23"/>
        <v>87.604019450682188</v>
      </c>
      <c r="J94" s="37">
        <f t="shared" si="24"/>
        <v>4307.4582056117615</v>
      </c>
      <c r="K94" s="38">
        <f t="shared" si="25"/>
        <v>37.148852770738365</v>
      </c>
      <c r="L94" s="2">
        <f t="shared" si="17"/>
        <v>12.698371572303039</v>
      </c>
      <c r="M94" s="38">
        <f t="shared" si="18"/>
        <v>48.039398957753093</v>
      </c>
      <c r="N94" s="38">
        <f t="shared" si="19"/>
        <v>43.155748133279893</v>
      </c>
      <c r="O94" s="38">
        <f t="shared" si="20"/>
        <v>21.88871116853786</v>
      </c>
      <c r="P94" s="38">
        <f t="shared" si="26"/>
        <v>16.416533376403397</v>
      </c>
      <c r="Q94" s="38">
        <f t="shared" si="26"/>
        <v>9.0290933570218677</v>
      </c>
      <c r="R94" s="38">
        <f t="shared" si="26"/>
        <v>7.2506355745781663</v>
      </c>
      <c r="S94">
        <f t="shared" si="26"/>
        <v>27.360888960672327</v>
      </c>
      <c r="T94" s="34">
        <f t="shared" ref="T94:T125" si="27">($B$69*$B$63+SQRT($B$69^2*$B$63^2+4*$B$69*($Y$58-(E94*$B$63))))/(2*$B$69)</f>
        <v>10.600476179678711</v>
      </c>
    </row>
    <row r="95" spans="4:20">
      <c r="D95" s="65">
        <f t="shared" si="11"/>
        <v>547.01637532698192</v>
      </c>
      <c r="E95" s="162">
        <v>12</v>
      </c>
      <c r="F95" s="9">
        <f t="shared" ref="F95:F126" si="28">(0.5+(0.00000036*$B$65*$B$68^3*($B$62*0.0254)*($B$61*0.0254)^4)*($B$69+$B$70)*$E95-(0.25-(0.00000036*$B$65*$B$68^3*($B$62*0.0254)*($B$61*0.0254)^4)*(($B$69+$B$70)^2*$B$63-($B$69+$B$70)*$E95))^(1/2))/((0.00000036*$B$65*$B$68^3*($B$62*0.0254)*($B$61*0.0254)^4)*($B$69+$B$70)^2)</f>
        <v>3.6168024053032819</v>
      </c>
      <c r="G95" s="36">
        <f t="shared" si="21"/>
        <v>43.401628863639381</v>
      </c>
      <c r="H95" s="36">
        <f t="shared" si="22"/>
        <v>38.035733065732117</v>
      </c>
      <c r="I95" s="9">
        <f t="shared" si="23"/>
        <v>87.636648811577999</v>
      </c>
      <c r="J95" s="37">
        <f t="shared" si="24"/>
        <v>4341.4672948636126</v>
      </c>
      <c r="K95" s="38">
        <f t="shared" si="25"/>
        <v>38.035733065732728</v>
      </c>
      <c r="L95" s="2">
        <f t="shared" si="17"/>
        <v>12.603590916958794</v>
      </c>
      <c r="M95" s="38">
        <f t="shared" si="18"/>
        <v>49.186276805689339</v>
      </c>
      <c r="N95" s="38">
        <f t="shared" si="19"/>
        <v>44.186035202206412</v>
      </c>
      <c r="O95" s="38">
        <f t="shared" ref="O95:O126" si="29">0.65*60*O$58/(F95*1000)</f>
        <v>21.566010873480224</v>
      </c>
      <c r="P95" s="38">
        <f t="shared" si="26"/>
        <v>16.174508155110168</v>
      </c>
      <c r="Q95" s="38">
        <f t="shared" si="26"/>
        <v>8.8959794853105922</v>
      </c>
      <c r="R95" s="38">
        <f t="shared" si="26"/>
        <v>7.1437411018403241</v>
      </c>
      <c r="S95">
        <f t="shared" si="26"/>
        <v>26.95751359185028</v>
      </c>
      <c r="T95" s="34">
        <f t="shared" si="27"/>
        <v>10.596507355623901</v>
      </c>
    </row>
    <row r="96" spans="4:20">
      <c r="D96" s="65">
        <f t="shared" si="11"/>
        <v>555.61142036770377</v>
      </c>
      <c r="E96" s="162">
        <v>12.1</v>
      </c>
      <c r="F96" s="9">
        <f t="shared" si="28"/>
        <v>3.6704892269296043</v>
      </c>
      <c r="G96" s="36">
        <f t="shared" si="21"/>
        <v>44.412919645848213</v>
      </c>
      <c r="H96" s="36">
        <f t="shared" si="22"/>
        <v>38.935705249139318</v>
      </c>
      <c r="I96" s="9">
        <f t="shared" si="23"/>
        <v>87.667520081128217</v>
      </c>
      <c r="J96" s="37">
        <f t="shared" si="24"/>
        <v>4375.442208359389</v>
      </c>
      <c r="K96" s="38">
        <f t="shared" si="25"/>
        <v>38.935705249139374</v>
      </c>
      <c r="L96" s="2">
        <f t="shared" si="17"/>
        <v>12.510130493518302</v>
      </c>
      <c r="M96" s="38">
        <f t="shared" si="18"/>
        <v>50.350084555995053</v>
      </c>
      <c r="N96" s="38">
        <f t="shared" si="19"/>
        <v>45.231531091776588</v>
      </c>
      <c r="O96" s="38">
        <f t="shared" si="29"/>
        <v>21.250573200904793</v>
      </c>
      <c r="P96" s="38">
        <f t="shared" si="26"/>
        <v>15.937929900678595</v>
      </c>
      <c r="Q96" s="38">
        <f t="shared" si="26"/>
        <v>8.7658614453732273</v>
      </c>
      <c r="R96" s="38">
        <f t="shared" si="26"/>
        <v>7.0392523727997132</v>
      </c>
      <c r="S96">
        <f t="shared" si="26"/>
        <v>26.563216501130992</v>
      </c>
      <c r="T96" s="34">
        <f t="shared" si="27"/>
        <v>10.59253703035321</v>
      </c>
    </row>
    <row r="97" spans="4:20">
      <c r="D97" s="65">
        <f t="shared" si="11"/>
        <v>564.26474468244953</v>
      </c>
      <c r="E97" s="162">
        <v>12.2</v>
      </c>
      <c r="F97" s="9">
        <f t="shared" si="28"/>
        <v>3.7245400756172771</v>
      </c>
      <c r="G97" s="36">
        <f t="shared" si="21"/>
        <v>45.439388922530775</v>
      </c>
      <c r="H97" s="36">
        <f t="shared" si="22"/>
        <v>39.848839140189412</v>
      </c>
      <c r="I97" s="9">
        <f t="shared" si="23"/>
        <v>87.696688016925933</v>
      </c>
      <c r="J97" s="37">
        <f t="shared" si="24"/>
        <v>4409.3830489222228</v>
      </c>
      <c r="K97" s="38">
        <f t="shared" si="25"/>
        <v>39.848839140189781</v>
      </c>
      <c r="L97" s="2">
        <f t="shared" si="17"/>
        <v>12.417965075288746</v>
      </c>
      <c r="M97" s="38">
        <f t="shared" si="18"/>
        <v>51.530912496086081</v>
      </c>
      <c r="N97" s="38">
        <f t="shared" si="19"/>
        <v>46.292316910852378</v>
      </c>
      <c r="O97" s="38">
        <f t="shared" si="29"/>
        <v>20.942183039089162</v>
      </c>
      <c r="P97" s="38">
        <f t="shared" si="26"/>
        <v>15.706637279316871</v>
      </c>
      <c r="Q97" s="38">
        <f t="shared" si="26"/>
        <v>8.6386505036242784</v>
      </c>
      <c r="R97" s="38">
        <f t="shared" si="26"/>
        <v>6.937098131698284</v>
      </c>
      <c r="S97">
        <f t="shared" si="26"/>
        <v>26.177728798861452</v>
      </c>
      <c r="T97" s="34">
        <f t="shared" si="27"/>
        <v>10.588565202161828</v>
      </c>
    </row>
    <row r="98" spans="4:20">
      <c r="D98" s="65">
        <f t="shared" si="11"/>
        <v>572.97617327988098</v>
      </c>
      <c r="E98" s="162">
        <v>12.3</v>
      </c>
      <c r="F98" s="9">
        <f t="shared" si="28"/>
        <v>3.7789538583264179</v>
      </c>
      <c r="G98" s="36">
        <f t="shared" si="21"/>
        <v>46.481132457414944</v>
      </c>
      <c r="H98" s="36">
        <f t="shared" si="22"/>
        <v>40.775204099408178</v>
      </c>
      <c r="I98" s="9">
        <f t="shared" si="23"/>
        <v>87.724205378957961</v>
      </c>
      <c r="J98" s="37">
        <f t="shared" si="24"/>
        <v>4443.289918860647</v>
      </c>
      <c r="K98" s="38">
        <f t="shared" si="25"/>
        <v>40.775204099407446</v>
      </c>
      <c r="L98" s="2">
        <f t="shared" si="17"/>
        <v>12.327069995655332</v>
      </c>
      <c r="M98" s="38">
        <f t="shared" si="18"/>
        <v>52.728850320195548</v>
      </c>
      <c r="N98" s="38">
        <f t="shared" si="19"/>
        <v>47.368473235415479</v>
      </c>
      <c r="O98" s="38">
        <f t="shared" si="29"/>
        <v>20.64063307577505</v>
      </c>
      <c r="P98" s="38">
        <f t="shared" si="26"/>
        <v>15.480474806831287</v>
      </c>
      <c r="Q98" s="38">
        <f t="shared" si="26"/>
        <v>8.5142611437572082</v>
      </c>
      <c r="R98" s="38">
        <f t="shared" si="26"/>
        <v>6.8372097063504853</v>
      </c>
      <c r="S98">
        <f t="shared" si="26"/>
        <v>25.80079134471881</v>
      </c>
      <c r="T98" s="34">
        <f t="shared" si="27"/>
        <v>10.584591869341727</v>
      </c>
    </row>
    <row r="99" spans="4:20">
      <c r="D99" s="65">
        <f t="shared" si="11"/>
        <v>581.745532042646</v>
      </c>
      <c r="E99" s="162">
        <v>12.4</v>
      </c>
      <c r="F99" s="9">
        <f t="shared" si="28"/>
        <v>3.8337294874757895</v>
      </c>
      <c r="G99" s="36">
        <f t="shared" si="21"/>
        <v>47.538245644699792</v>
      </c>
      <c r="H99" s="36">
        <f t="shared" si="22"/>
        <v>41.714869032144698</v>
      </c>
      <c r="I99" s="9">
        <f t="shared" si="23"/>
        <v>87.750123014469366</v>
      </c>
      <c r="J99" s="37">
        <f t="shared" si="24"/>
        <v>4477.1629199722665</v>
      </c>
      <c r="K99" s="38">
        <f t="shared" si="25"/>
        <v>41.714869032144804</v>
      </c>
      <c r="L99" s="2">
        <f t="shared" si="17"/>
        <v>12.237421136459353</v>
      </c>
      <c r="M99" s="38">
        <f t="shared" si="18"/>
        <v>53.943987133947587</v>
      </c>
      <c r="N99" s="38">
        <f t="shared" si="19"/>
        <v>48.46008011267633</v>
      </c>
      <c r="O99" s="38">
        <f t="shared" si="29"/>
        <v>20.345723467139276</v>
      </c>
      <c r="P99" s="38">
        <f t="shared" si="26"/>
        <v>15.259292600354458</v>
      </c>
      <c r="Q99" s="38">
        <f t="shared" si="26"/>
        <v>8.3926109301949516</v>
      </c>
      <c r="R99" s="38">
        <f t="shared" si="26"/>
        <v>6.7395208984898849</v>
      </c>
      <c r="S99">
        <f t="shared" si="26"/>
        <v>25.432154333924096</v>
      </c>
      <c r="T99" s="34">
        <f t="shared" si="27"/>
        <v>10.580617030181635</v>
      </c>
    </row>
    <row r="100" spans="4:20">
      <c r="D100" s="65">
        <f t="shared" si="11"/>
        <v>590.57264772125791</v>
      </c>
      <c r="E100" s="162">
        <v>12.5</v>
      </c>
      <c r="F100" s="9">
        <f t="shared" si="28"/>
        <v>3.8888658809056111</v>
      </c>
      <c r="G100" s="36">
        <f t="shared" si="21"/>
        <v>48.610823511320142</v>
      </c>
      <c r="H100" s="36">
        <f t="shared" si="22"/>
        <v>42.667902392082382</v>
      </c>
      <c r="I100" s="9">
        <f t="shared" si="23"/>
        <v>87.774489938740047</v>
      </c>
      <c r="J100" s="37">
        <f t="shared" si="24"/>
        <v>4511.0021535472351</v>
      </c>
      <c r="K100" s="38">
        <f t="shared" si="25"/>
        <v>42.667902392082247</v>
      </c>
      <c r="L100" s="2">
        <f t="shared" si="17"/>
        <v>12.148994916404359</v>
      </c>
      <c r="M100" s="38">
        <f t="shared" si="18"/>
        <v>55.176411458882484</v>
      </c>
      <c r="N100" s="38">
        <f t="shared" si="19"/>
        <v>49.567217065138841</v>
      </c>
      <c r="O100" s="38">
        <f t="shared" si="29"/>
        <v>20.057261522692556</v>
      </c>
      <c r="P100" s="38">
        <f t="shared" si="26"/>
        <v>15.042946142019415</v>
      </c>
      <c r="Q100" s="38">
        <f t="shared" si="26"/>
        <v>8.2736203781106799</v>
      </c>
      <c r="R100" s="38">
        <f t="shared" si="26"/>
        <v>6.6439678793919086</v>
      </c>
      <c r="S100">
        <f t="shared" si="26"/>
        <v>25.071576903365695</v>
      </c>
      <c r="T100" s="34">
        <f t="shared" si="27"/>
        <v>10.576640682967035</v>
      </c>
    </row>
    <row r="101" spans="4:20">
      <c r="D101" s="65">
        <f t="shared" si="11"/>
        <v>599.45734792807195</v>
      </c>
      <c r="E101" s="162">
        <v>12.6</v>
      </c>
      <c r="F101" s="9">
        <f t="shared" si="28"/>
        <v>3.9443619618389709</v>
      </c>
      <c r="G101" s="36">
        <f t="shared" si="21"/>
        <v>49.698960719171033</v>
      </c>
      <c r="H101" s="36">
        <f t="shared" si="22"/>
        <v>43.634372184698783</v>
      </c>
      <c r="I101" s="9">
        <f t="shared" si="23"/>
        <v>87.797353411994237</v>
      </c>
      <c r="J101" s="37">
        <f t="shared" si="24"/>
        <v>4544.8077203718722</v>
      </c>
      <c r="K101" s="38">
        <f t="shared" si="25"/>
        <v>43.634372184699096</v>
      </c>
      <c r="L101" s="2">
        <f t="shared" si="17"/>
        <v>12.061768279529343</v>
      </c>
      <c r="M101" s="38">
        <f t="shared" si="18"/>
        <v>56.426211236944809</v>
      </c>
      <c r="N101" s="38">
        <f t="shared" si="19"/>
        <v>50.689963094632631</v>
      </c>
      <c r="O101" s="38">
        <f t="shared" si="29"/>
        <v>19.77506140527586</v>
      </c>
      <c r="P101" s="38">
        <f t="shared" si="26"/>
        <v>14.831296053956894</v>
      </c>
      <c r="Q101" s="38">
        <f t="shared" si="26"/>
        <v>8.1572128296762916</v>
      </c>
      <c r="R101" s="38">
        <f t="shared" si="26"/>
        <v>6.5504890904976278</v>
      </c>
      <c r="S101">
        <f t="shared" si="26"/>
        <v>24.718826756594822</v>
      </c>
      <c r="T101" s="34">
        <f t="shared" si="27"/>
        <v>10.572662825980156</v>
      </c>
    </row>
    <row r="102" spans="4:20">
      <c r="D102" s="65">
        <f t="shared" si="11"/>
        <v>608.39946113127985</v>
      </c>
      <c r="E102" s="162">
        <v>12.7</v>
      </c>
      <c r="F102" s="9">
        <f t="shared" si="28"/>
        <v>4.000216658844983</v>
      </c>
      <c r="G102" s="36">
        <f t="shared" si="21"/>
        <v>50.802751567331285</v>
      </c>
      <c r="H102" s="36">
        <f t="shared" si="22"/>
        <v>44.614345970707625</v>
      </c>
      <c r="I102" s="9">
        <f t="shared" si="23"/>
        <v>87.818759012645458</v>
      </c>
      <c r="J102" s="37">
        <f t="shared" si="24"/>
        <v>4578.5797207321093</v>
      </c>
      <c r="K102" s="38">
        <f t="shared" si="25"/>
        <v>44.614345970707959</v>
      </c>
      <c r="L102" s="2">
        <f t="shared" si="17"/>
        <v>11.975718683759467</v>
      </c>
      <c r="M102" s="38">
        <f t="shared" si="18"/>
        <v>57.693473834924696</v>
      </c>
      <c r="N102" s="38">
        <f t="shared" si="19"/>
        <v>51.828396686302739</v>
      </c>
      <c r="O102" s="38">
        <f t="shared" si="29"/>
        <v>19.498943845337021</v>
      </c>
      <c r="P102" s="38">
        <f t="shared" ref="P102:S121" si="30">0.65*60*P$58/($F102*1000)</f>
        <v>14.624207884002765</v>
      </c>
      <c r="Q102" s="38">
        <f t="shared" si="30"/>
        <v>8.0433143362015205</v>
      </c>
      <c r="R102" s="38">
        <f t="shared" si="30"/>
        <v>6.4590251487678874</v>
      </c>
      <c r="S102">
        <f t="shared" si="30"/>
        <v>24.373679806671273</v>
      </c>
      <c r="T102" s="34">
        <f t="shared" si="27"/>
        <v>10.568683457499962</v>
      </c>
    </row>
    <row r="103" spans="4:20">
      <c r="D103" s="65">
        <f t="shared" si="11"/>
        <v>617.39881664898348</v>
      </c>
      <c r="E103" s="162">
        <v>12.8</v>
      </c>
      <c r="F103" s="9">
        <f t="shared" si="28"/>
        <v>4.0564289058013916</v>
      </c>
      <c r="G103" s="36">
        <f t="shared" si="21"/>
        <v>51.922289994257817</v>
      </c>
      <c r="H103" s="36">
        <f t="shared" si="22"/>
        <v>45.607890869459219</v>
      </c>
      <c r="I103" s="9">
        <f t="shared" si="23"/>
        <v>87.838750707072194</v>
      </c>
      <c r="J103" s="37">
        <f t="shared" si="24"/>
        <v>4612.3182544169895</v>
      </c>
      <c r="K103" s="38">
        <f t="shared" si="25"/>
        <v>45.607890869459347</v>
      </c>
      <c r="L103" s="2">
        <f t="shared" si="17"/>
        <v>11.890824089562743</v>
      </c>
      <c r="M103" s="38">
        <f t="shared" si="18"/>
        <v>58.978286048860788</v>
      </c>
      <c r="N103" s="38">
        <f t="shared" si="19"/>
        <v>52.982595812564682</v>
      </c>
      <c r="O103" s="38">
        <f t="shared" si="29"/>
        <v>19.228735868745677</v>
      </c>
      <c r="P103" s="38">
        <f t="shared" si="30"/>
        <v>14.421551901559258</v>
      </c>
      <c r="Q103" s="38">
        <f t="shared" si="30"/>
        <v>7.9318535458575923</v>
      </c>
      <c r="R103" s="38">
        <f t="shared" si="30"/>
        <v>6.3695187565220062</v>
      </c>
      <c r="S103">
        <f t="shared" si="30"/>
        <v>24.035919835932098</v>
      </c>
      <c r="T103" s="34">
        <f t="shared" si="27"/>
        <v>10.564702575802142</v>
      </c>
    </row>
    <row r="104" spans="4:20">
      <c r="D104" s="65">
        <f t="shared" si="11"/>
        <v>626.45524464330674</v>
      </c>
      <c r="E104" s="162">
        <v>12.9</v>
      </c>
      <c r="F104" s="9">
        <f t="shared" si="28"/>
        <v>4.1129976418578691</v>
      </c>
      <c r="G104" s="36">
        <f t="shared" si="21"/>
        <v>53.057669579966515</v>
      </c>
      <c r="H104" s="36">
        <f t="shared" si="22"/>
        <v>46.615073562312872</v>
      </c>
      <c r="I104" s="9">
        <f t="shared" si="23"/>
        <v>87.857370916105523</v>
      </c>
      <c r="J104" s="37">
        <f t="shared" si="24"/>
        <v>4646.0234207221038</v>
      </c>
      <c r="K104" s="38">
        <f t="shared" si="25"/>
        <v>46.615073562313356</v>
      </c>
      <c r="L104" s="2">
        <f t="shared" si="17"/>
        <v>11.807062948724822</v>
      </c>
      <c r="M104" s="38">
        <f t="shared" si="18"/>
        <v>60.280734108400061</v>
      </c>
      <c r="N104" s="38">
        <f t="shared" si="19"/>
        <v>54.152637937021431</v>
      </c>
      <c r="O104" s="38">
        <f t="shared" si="29"/>
        <v>18.964270537428966</v>
      </c>
      <c r="P104" s="38">
        <f t="shared" si="30"/>
        <v>14.223202903071725</v>
      </c>
      <c r="Q104" s="38">
        <f t="shared" si="30"/>
        <v>7.8227615966894488</v>
      </c>
      <c r="R104" s="38">
        <f t="shared" si="30"/>
        <v>6.2819146155233447</v>
      </c>
      <c r="S104">
        <f t="shared" si="30"/>
        <v>23.70533817178621</v>
      </c>
      <c r="T104" s="34">
        <f t="shared" si="27"/>
        <v>10.560720179159114</v>
      </c>
    </row>
    <row r="105" spans="4:20">
      <c r="D105" s="65">
        <f t="shared" si="11"/>
        <v>635.56857611455871</v>
      </c>
      <c r="E105" s="162">
        <v>13</v>
      </c>
      <c r="F105" s="9">
        <f t="shared" si="28"/>
        <v>4.1699218113998029</v>
      </c>
      <c r="G105" s="36">
        <f t="shared" si="21"/>
        <v>54.208983548197438</v>
      </c>
      <c r="H105" s="36">
        <f t="shared" si="22"/>
        <v>47.635960295979551</v>
      </c>
      <c r="I105" s="9">
        <f t="shared" si="23"/>
        <v>87.87466057840065</v>
      </c>
      <c r="J105" s="37">
        <f t="shared" si="24"/>
        <v>4679.6953184529784</v>
      </c>
      <c r="K105" s="38">
        <f t="shared" si="25"/>
        <v>47.635960295979451</v>
      </c>
      <c r="L105" s="2">
        <f t="shared" si="17"/>
        <v>11.724414193257692</v>
      </c>
      <c r="M105" s="38">
        <f t="shared" si="18"/>
        <v>61.600903681116797</v>
      </c>
      <c r="N105" s="38">
        <f t="shared" si="19"/>
        <v>55.338600018343207</v>
      </c>
      <c r="O105" s="38">
        <f t="shared" si="29"/>
        <v>18.705386702158844</v>
      </c>
      <c r="P105" s="38">
        <f t="shared" si="30"/>
        <v>14.029040026619134</v>
      </c>
      <c r="Q105" s="38">
        <f t="shared" si="30"/>
        <v>7.7159720146405233</v>
      </c>
      <c r="R105" s="38">
        <f t="shared" si="30"/>
        <v>6.1961593450901171</v>
      </c>
      <c r="S105">
        <f t="shared" si="30"/>
        <v>23.381733377698556</v>
      </c>
      <c r="T105" s="34">
        <f t="shared" si="27"/>
        <v>10.556736265839993</v>
      </c>
    </row>
    <row r="106" spans="4:20">
      <c r="D106" s="65">
        <f t="shared" si="11"/>
        <v>644.73864289546646</v>
      </c>
      <c r="E106" s="162">
        <v>13.1</v>
      </c>
      <c r="F106" s="9">
        <f t="shared" si="28"/>
        <v>4.2272003640118081</v>
      </c>
      <c r="G106" s="36">
        <f t="shared" si="21"/>
        <v>55.376324768554682</v>
      </c>
      <c r="H106" s="36">
        <f t="shared" si="22"/>
        <v>48.670616885826874</v>
      </c>
      <c r="I106" s="9">
        <f t="shared" si="23"/>
        <v>87.890659210855333</v>
      </c>
      <c r="J106" s="37">
        <f t="shared" si="24"/>
        <v>4713.3340459284946</v>
      </c>
      <c r="K106" s="38">
        <f t="shared" si="25"/>
        <v>48.670616885826838</v>
      </c>
      <c r="L106" s="2">
        <f t="shared" si="17"/>
        <v>11.642857224457407</v>
      </c>
      <c r="M106" s="38">
        <f t="shared" si="18"/>
        <v>62.938879876793528</v>
      </c>
      <c r="N106" s="38">
        <f t="shared" si="19"/>
        <v>56.540558514113052</v>
      </c>
      <c r="O106" s="38">
        <f t="shared" si="29"/>
        <v>18.451928766862235</v>
      </c>
      <c r="P106" s="38">
        <f t="shared" si="30"/>
        <v>13.838946575146677</v>
      </c>
      <c r="Q106" s="38">
        <f t="shared" si="30"/>
        <v>7.6114206163306726</v>
      </c>
      <c r="R106" s="38">
        <f t="shared" si="30"/>
        <v>6.1122014040231161</v>
      </c>
      <c r="S106">
        <f t="shared" si="30"/>
        <v>23.064910958577794</v>
      </c>
      <c r="T106" s="34">
        <f t="shared" si="27"/>
        <v>10.552750834110606</v>
      </c>
    </row>
    <row r="107" spans="4:20">
      <c r="D107" s="65">
        <f t="shared" si="11"/>
        <v>653.96527764543305</v>
      </c>
      <c r="E107" s="162">
        <v>13.2</v>
      </c>
      <c r="F107" s="9">
        <f t="shared" si="28"/>
        <v>4.284832254442354</v>
      </c>
      <c r="G107" s="36">
        <f t="shared" si="21"/>
        <v>56.559785758639073</v>
      </c>
      <c r="H107" s="36">
        <f t="shared" si="22"/>
        <v>49.719108719162008</v>
      </c>
      <c r="I107" s="9">
        <f t="shared" si="23"/>
        <v>87.905404966226911</v>
      </c>
      <c r="J107" s="37">
        <f t="shared" si="24"/>
        <v>4746.939700984195</v>
      </c>
      <c r="K107" s="38">
        <f t="shared" si="25"/>
        <v>49.719108719161575</v>
      </c>
      <c r="L107" s="2">
        <f t="shared" si="17"/>
        <v>11.562371902116777</v>
      </c>
      <c r="M107" s="38">
        <f t="shared" si="18"/>
        <v>64.294747251658677</v>
      </c>
      <c r="N107" s="38">
        <f t="shared" si="19"/>
        <v>57.758589384633929</v>
      </c>
      <c r="O107" s="38">
        <f t="shared" si="29"/>
        <v>18.203746463851065</v>
      </c>
      <c r="P107" s="38">
        <f t="shared" si="30"/>
        <v>13.6528098478883</v>
      </c>
      <c r="Q107" s="38">
        <f t="shared" si="30"/>
        <v>7.5090454163385649</v>
      </c>
      <c r="R107" s="38">
        <f t="shared" si="30"/>
        <v>6.0299910161506656</v>
      </c>
      <c r="S107">
        <f t="shared" si="30"/>
        <v>22.754683079813834</v>
      </c>
      <c r="T107" s="34">
        <f t="shared" si="27"/>
        <v>10.54876388223347</v>
      </c>
    </row>
    <row r="108" spans="4:20">
      <c r="D108" s="65">
        <f t="shared" ref="D108:D139" si="31">$C$60*0.6*((0.6*3.1416*($B$61*0.0254)^2*K108^2)^(1/3))/9.81*1000</f>
        <v>663.2483138448689</v>
      </c>
      <c r="E108" s="162">
        <v>13.3</v>
      </c>
      <c r="F108" s="9">
        <f t="shared" si="28"/>
        <v>4.3428164425679716</v>
      </c>
      <c r="G108" s="36">
        <f t="shared" si="21"/>
        <v>57.759458686154026</v>
      </c>
      <c r="H108" s="36">
        <f t="shared" si="22"/>
        <v>50.781500758475993</v>
      </c>
      <c r="I108" s="9">
        <f t="shared" si="23"/>
        <v>87.918934688093302</v>
      </c>
      <c r="J108" s="37">
        <f t="shared" si="24"/>
        <v>4780.5123809756387</v>
      </c>
      <c r="K108" s="38">
        <f t="shared" si="25"/>
        <v>50.781500758475509</v>
      </c>
      <c r="L108" s="2">
        <f t="shared" ref="L108:L139" si="32">D108/G108</f>
        <v>11.482938533907371</v>
      </c>
      <c r="M108" s="38">
        <f t="shared" ref="M108:M139" si="33">1.30652287/($B$61*0.0254)*POWER(D108*0.00981,3/2)</f>
        <v>65.668589812588124</v>
      </c>
      <c r="N108" s="38">
        <f t="shared" ref="N108:N139" si="34">POWER(J108/$B$64,3)*100</f>
        <v>58.99276809670301</v>
      </c>
      <c r="O108" s="38">
        <f t="shared" si="29"/>
        <v>17.960694639416406</v>
      </c>
      <c r="P108" s="38">
        <f t="shared" si="30"/>
        <v>13.470520979562306</v>
      </c>
      <c r="Q108" s="38">
        <f t="shared" si="30"/>
        <v>7.4087865387592684</v>
      </c>
      <c r="R108" s="38">
        <f t="shared" si="30"/>
        <v>5.949480099306685</v>
      </c>
      <c r="S108">
        <f t="shared" si="30"/>
        <v>22.45086829927051</v>
      </c>
      <c r="T108" s="34">
        <f t="shared" si="27"/>
        <v>10.544775408467784</v>
      </c>
    </row>
    <row r="109" spans="4:20">
      <c r="D109" s="65">
        <f t="shared" si="31"/>
        <v>672.5875857895569</v>
      </c>
      <c r="E109" s="162">
        <v>13.4</v>
      </c>
      <c r="F109" s="9">
        <f t="shared" si="28"/>
        <v>4.4011518933583007</v>
      </c>
      <c r="G109" s="36">
        <f t="shared" si="21"/>
        <v>58.975435371001232</v>
      </c>
      <c r="H109" s="36">
        <f t="shared" si="22"/>
        <v>51.857857544663702</v>
      </c>
      <c r="I109" s="9">
        <f t="shared" si="23"/>
        <v>87.931283963293453</v>
      </c>
      <c r="J109" s="37">
        <f t="shared" si="24"/>
        <v>4814.0521827816629</v>
      </c>
      <c r="K109" s="38">
        <f t="shared" si="25"/>
        <v>51.857857544663204</v>
      </c>
      <c r="L109" s="2">
        <f t="shared" si="32"/>
        <v>11.404537864934092</v>
      </c>
      <c r="M109" s="38">
        <f t="shared" si="33"/>
        <v>67.060491021265207</v>
      </c>
      <c r="N109" s="38">
        <f t="shared" si="34"/>
        <v>60.243169627348706</v>
      </c>
      <c r="O109" s="38">
        <f t="shared" si="29"/>
        <v>17.722633049249765</v>
      </c>
      <c r="P109" s="38">
        <f t="shared" si="30"/>
        <v>13.291974786937322</v>
      </c>
      <c r="Q109" s="38">
        <f t="shared" si="30"/>
        <v>7.3105861328155273</v>
      </c>
      <c r="R109" s="38">
        <f t="shared" si="30"/>
        <v>5.8706221975639847</v>
      </c>
      <c r="S109">
        <f t="shared" si="30"/>
        <v>22.153291311562207</v>
      </c>
      <c r="T109" s="34">
        <f t="shared" si="27"/>
        <v>10.540785411069418</v>
      </c>
    </row>
    <row r="110" spans="4:20">
      <c r="D110" s="65">
        <f t="shared" si="31"/>
        <v>681.98292858507875</v>
      </c>
      <c r="E110" s="162">
        <v>13.5</v>
      </c>
      <c r="F110" s="9">
        <f t="shared" si="28"/>
        <v>4.4598375768411413</v>
      </c>
      <c r="G110" s="36">
        <f t="shared" si="21"/>
        <v>60.207807287355408</v>
      </c>
      <c r="H110" s="36">
        <f t="shared" si="22"/>
        <v>52.948243200210754</v>
      </c>
      <c r="I110" s="9">
        <f t="shared" si="23"/>
        <v>87.942487171976325</v>
      </c>
      <c r="J110" s="37">
        <f t="shared" si="24"/>
        <v>4847.559202807669</v>
      </c>
      <c r="K110" s="38">
        <f t="shared" si="25"/>
        <v>52.948243200210683</v>
      </c>
      <c r="L110" s="2">
        <f t="shared" si="32"/>
        <v>11.327151067471377</v>
      </c>
      <c r="M110" s="38">
        <f t="shared" si="33"/>
        <v>68.470533798303961</v>
      </c>
      <c r="N110" s="38">
        <f t="shared" si="34"/>
        <v>61.509868467535078</v>
      </c>
      <c r="O110" s="38">
        <f t="shared" si="29"/>
        <v>17.489426163193734</v>
      </c>
      <c r="P110" s="38">
        <f t="shared" si="30"/>
        <v>13.117069622395299</v>
      </c>
      <c r="Q110" s="38">
        <f t="shared" si="30"/>
        <v>7.2143882923174152</v>
      </c>
      <c r="R110" s="38">
        <f t="shared" si="30"/>
        <v>5.7933724165579239</v>
      </c>
      <c r="S110">
        <f t="shared" si="30"/>
        <v>21.861782703992166</v>
      </c>
      <c r="T110" s="34">
        <f t="shared" si="27"/>
        <v>10.536793888290919</v>
      </c>
    </row>
    <row r="111" spans="4:20">
      <c r="D111" s="65">
        <f t="shared" si="31"/>
        <v>691.43417814128065</v>
      </c>
      <c r="E111" s="162">
        <v>13.6</v>
      </c>
      <c r="F111" s="9">
        <f t="shared" si="28"/>
        <v>4.5188724680680519</v>
      </c>
      <c r="G111" s="36">
        <f t="shared" si="21"/>
        <v>61.456665565725501</v>
      </c>
      <c r="H111" s="36">
        <f t="shared" si="22"/>
        <v>54.052721432353543</v>
      </c>
      <c r="I111" s="9">
        <f t="shared" si="23"/>
        <v>87.952577535379419</v>
      </c>
      <c r="J111" s="37">
        <f t="shared" si="24"/>
        <v>4881.0335369888307</v>
      </c>
      <c r="K111" s="38">
        <f t="shared" si="25"/>
        <v>54.052721432353131</v>
      </c>
      <c r="L111" s="2">
        <f t="shared" si="32"/>
        <v>11.250759730884177</v>
      </c>
      <c r="M111" s="38">
        <f t="shared" si="33"/>
        <v>69.898800527333051</v>
      </c>
      <c r="N111" s="38">
        <f t="shared" si="34"/>
        <v>62.792938625830097</v>
      </c>
      <c r="O111" s="38">
        <f t="shared" si="29"/>
        <v>17.26094297884606</v>
      </c>
      <c r="P111" s="38">
        <f t="shared" si="30"/>
        <v>12.945707234134545</v>
      </c>
      <c r="Q111" s="38">
        <f t="shared" si="30"/>
        <v>7.1201389787739995</v>
      </c>
      <c r="R111" s="38">
        <f t="shared" si="30"/>
        <v>5.7176873617427573</v>
      </c>
      <c r="S111">
        <f t="shared" si="30"/>
        <v>21.576178723557575</v>
      </c>
      <c r="T111" s="34">
        <f t="shared" si="27"/>
        <v>10.532800838381482</v>
      </c>
    </row>
    <row r="112" spans="4:20">
      <c r="D112" s="65">
        <f t="shared" si="31"/>
        <v>700.94117116679774</v>
      </c>
      <c r="E112" s="162">
        <v>13.7</v>
      </c>
      <c r="F112" s="9">
        <f t="shared" si="28"/>
        <v>4.5782555470798245</v>
      </c>
      <c r="G112" s="36">
        <f t="shared" si="21"/>
        <v>62.722100994993596</v>
      </c>
      <c r="H112" s="36">
        <f t="shared" si="22"/>
        <v>55.171355536205297</v>
      </c>
      <c r="I112" s="9">
        <f t="shared" si="23"/>
        <v>87.961587161452087</v>
      </c>
      <c r="J112" s="37">
        <f t="shared" si="24"/>
        <v>4914.4752807933282</v>
      </c>
      <c r="K112" s="38">
        <f t="shared" si="25"/>
        <v>55.171355536205205</v>
      </c>
      <c r="L112" s="2">
        <f t="shared" si="32"/>
        <v>11.17534585173966</v>
      </c>
      <c r="M112" s="38">
        <f t="shared" si="33"/>
        <v>71.345373059043268</v>
      </c>
      <c r="N112" s="38">
        <f t="shared" si="34"/>
        <v>64.092453632042151</v>
      </c>
      <c r="O112" s="38">
        <f t="shared" si="29"/>
        <v>17.037056843572483</v>
      </c>
      <c r="P112" s="38">
        <f t="shared" si="30"/>
        <v>12.777792632679361</v>
      </c>
      <c r="Q112" s="38">
        <f t="shared" si="30"/>
        <v>7.0277859479736486</v>
      </c>
      <c r="R112" s="38">
        <f t="shared" si="30"/>
        <v>5.6435250794333847</v>
      </c>
      <c r="S112">
        <f t="shared" si="30"/>
        <v>21.296321054465604</v>
      </c>
      <c r="T112" s="34">
        <f t="shared" si="27"/>
        <v>10.528806259586952</v>
      </c>
    </row>
    <row r="113" spans="4:20">
      <c r="D113" s="65">
        <f t="shared" si="31"/>
        <v>710.50374516361478</v>
      </c>
      <c r="E113" s="162">
        <v>13.8</v>
      </c>
      <c r="F113" s="9">
        <f t="shared" si="28"/>
        <v>4.6379857988729238</v>
      </c>
      <c r="G113" s="36">
        <f t="shared" si="21"/>
        <v>64.004204024446352</v>
      </c>
      <c r="H113" s="36">
        <f t="shared" si="22"/>
        <v>56.304208397860997</v>
      </c>
      <c r="I113" s="9">
        <f t="shared" si="23"/>
        <v>87.969547088431327</v>
      </c>
      <c r="J113" s="37">
        <f t="shared" si="24"/>
        <v>4947.8845292254946</v>
      </c>
      <c r="K113" s="38">
        <f t="shared" si="25"/>
        <v>56.304208397860585</v>
      </c>
      <c r="L113" s="2">
        <f t="shared" si="32"/>
        <v>11.10089182410953</v>
      </c>
      <c r="M113" s="38">
        <f t="shared" si="33"/>
        <v>72.810332715196125</v>
      </c>
      <c r="N113" s="38">
        <f t="shared" si="34"/>
        <v>65.408486540820846</v>
      </c>
      <c r="O113" s="38">
        <f t="shared" si="29"/>
        <v>16.81764528450147</v>
      </c>
      <c r="P113" s="38">
        <f t="shared" si="30"/>
        <v>12.613233963376102</v>
      </c>
      <c r="Q113" s="38">
        <f t="shared" si="30"/>
        <v>6.9372786798568553</v>
      </c>
      <c r="R113" s="38">
        <f t="shared" si="30"/>
        <v>5.5708450004911114</v>
      </c>
      <c r="S113">
        <f t="shared" si="30"/>
        <v>21.022056605626837</v>
      </c>
      <c r="T113" s="34">
        <f t="shared" si="27"/>
        <v>10.524810150149817</v>
      </c>
    </row>
    <row r="114" spans="4:20">
      <c r="D114" s="65">
        <f t="shared" si="31"/>
        <v>720.1217384216859</v>
      </c>
      <c r="E114" s="162">
        <v>13.9</v>
      </c>
      <c r="F114" s="9">
        <f t="shared" si="28"/>
        <v>4.6980622133655192</v>
      </c>
      <c r="G114" s="36">
        <f t="shared" si="21"/>
        <v>65.303064765780718</v>
      </c>
      <c r="H114" s="36">
        <f t="shared" si="22"/>
        <v>57.451342497465561</v>
      </c>
      <c r="I114" s="9">
        <f t="shared" si="23"/>
        <v>87.976487326473048</v>
      </c>
      <c r="J114" s="37">
        <f t="shared" si="24"/>
        <v>4981.2613768289875</v>
      </c>
      <c r="K114" s="38">
        <f t="shared" si="25"/>
        <v>57.451342497464864</v>
      </c>
      <c r="L114" s="2">
        <f t="shared" si="32"/>
        <v>11.027380430068803</v>
      </c>
      <c r="M114" s="38">
        <f t="shared" si="33"/>
        <v>74.293760292597412</v>
      </c>
      <c r="N114" s="38">
        <f t="shared" si="34"/>
        <v>66.741109935226532</v>
      </c>
      <c r="O114" s="38">
        <f t="shared" si="29"/>
        <v>16.602589846106714</v>
      </c>
      <c r="P114" s="38">
        <f t="shared" si="30"/>
        <v>12.451942384580036</v>
      </c>
      <c r="Q114" s="38">
        <f t="shared" si="30"/>
        <v>6.8485683115190197</v>
      </c>
      <c r="R114" s="38">
        <f t="shared" si="30"/>
        <v>5.499607886522849</v>
      </c>
      <c r="S114">
        <f t="shared" si="30"/>
        <v>20.753237307633395</v>
      </c>
      <c r="T114" s="34">
        <f t="shared" si="27"/>
        <v>10.520812508309193</v>
      </c>
    </row>
    <row r="115" spans="4:20">
      <c r="D115" s="65">
        <f t="shared" si="31"/>
        <v>729.79499001359341</v>
      </c>
      <c r="E115" s="162">
        <v>14</v>
      </c>
      <c r="F115" s="9">
        <f t="shared" si="28"/>
        <v>4.7584837853642714</v>
      </c>
      <c r="G115" s="36">
        <f t="shared" si="21"/>
        <v>66.618772995099803</v>
      </c>
      <c r="H115" s="36">
        <f t="shared" si="22"/>
        <v>58.612819912259361</v>
      </c>
      <c r="I115" s="9">
        <f t="shared" si="23"/>
        <v>87.982436897435306</v>
      </c>
      <c r="J115" s="37">
        <f t="shared" si="24"/>
        <v>5014.6059176899043</v>
      </c>
      <c r="K115" s="38">
        <f t="shared" si="25"/>
        <v>58.612819912259056</v>
      </c>
      <c r="L115" s="2">
        <f t="shared" si="32"/>
        <v>10.954794830389236</v>
      </c>
      <c r="M115" s="38">
        <f t="shared" si="33"/>
        <v>75.795736067032919</v>
      </c>
      <c r="N115" s="38">
        <f t="shared" si="34"/>
        <v>68.090395930266311</v>
      </c>
      <c r="O115" s="38">
        <f t="shared" si="29"/>
        <v>16.391775934995426</v>
      </c>
      <c r="P115" s="38">
        <f t="shared" si="30"/>
        <v>12.29383195124657</v>
      </c>
      <c r="Q115" s="38">
        <f t="shared" si="30"/>
        <v>6.7616075731856133</v>
      </c>
      <c r="R115" s="38">
        <f t="shared" si="30"/>
        <v>5.4297757784672349</v>
      </c>
      <c r="S115">
        <f t="shared" si="30"/>
        <v>20.489719918744282</v>
      </c>
      <c r="T115" s="34">
        <f t="shared" si="27"/>
        <v>10.516813332300813</v>
      </c>
    </row>
    <row r="116" spans="4:20">
      <c r="D116" s="65">
        <f t="shared" si="31"/>
        <v>739.52333978926276</v>
      </c>
      <c r="E116" s="162">
        <v>14.100000000000099</v>
      </c>
      <c r="F116" s="9">
        <f t="shared" si="28"/>
        <v>4.8192495145313456</v>
      </c>
      <c r="G116" s="36">
        <f t="shared" si="21"/>
        <v>67.951418154892451</v>
      </c>
      <c r="H116" s="36">
        <f t="shared" si="22"/>
        <v>59.788702319595387</v>
      </c>
      <c r="I116" s="9">
        <f t="shared" si="23"/>
        <v>87.987423872905069</v>
      </c>
      <c r="J116" s="37">
        <f t="shared" si="24"/>
        <v>5047.9182454399051</v>
      </c>
      <c r="K116" s="38">
        <f t="shared" si="25"/>
        <v>59.788702319596666</v>
      </c>
      <c r="L116" s="2">
        <f t="shared" si="32"/>
        <v>10.883118555429554</v>
      </c>
      <c r="M116" s="38">
        <f t="shared" si="33"/>
        <v>77.316339797169817</v>
      </c>
      <c r="N116" s="38">
        <f t="shared" si="34"/>
        <v>69.456416176398605</v>
      </c>
      <c r="O116" s="38">
        <f t="shared" si="29"/>
        <v>16.185092671547473</v>
      </c>
      <c r="P116" s="38">
        <f t="shared" si="30"/>
        <v>12.138819503660605</v>
      </c>
      <c r="Q116" s="38">
        <f t="shared" si="30"/>
        <v>6.6763507270133324</v>
      </c>
      <c r="R116" s="38">
        <f t="shared" si="30"/>
        <v>5.3613119474501003</v>
      </c>
      <c r="S116">
        <f t="shared" si="30"/>
        <v>20.231365839434339</v>
      </c>
      <c r="T116" s="34">
        <f t="shared" si="27"/>
        <v>10.512812620357028</v>
      </c>
    </row>
    <row r="117" spans="4:20">
      <c r="D117" s="65">
        <f t="shared" si="31"/>
        <v>749.30662837067371</v>
      </c>
      <c r="E117" s="162">
        <v>14.200000000000101</v>
      </c>
      <c r="F117" s="9">
        <f t="shared" si="28"/>
        <v>4.8803584053516902</v>
      </c>
      <c r="G117" s="36">
        <f t="shared" si="21"/>
        <v>69.301089355994492</v>
      </c>
      <c r="H117" s="36">
        <f t="shared" si="22"/>
        <v>60.9790509999265</v>
      </c>
      <c r="I117" s="9">
        <f t="shared" si="23"/>
        <v>87.991475410554798</v>
      </c>
      <c r="J117" s="37">
        <f t="shared" si="24"/>
        <v>5081.1984532591214</v>
      </c>
      <c r="K117" s="38">
        <f t="shared" si="25"/>
        <v>60.97905099992645</v>
      </c>
      <c r="L117" s="2">
        <f t="shared" si="32"/>
        <v>10.812335496222026</v>
      </c>
      <c r="M117" s="38">
        <f t="shared" si="33"/>
        <v>78.855650728414531</v>
      </c>
      <c r="N117" s="38">
        <f t="shared" si="34"/>
        <v>70.839241862998477</v>
      </c>
      <c r="O117" s="38">
        <f t="shared" si="29"/>
        <v>15.982432748067634</v>
      </c>
      <c r="P117" s="38">
        <f t="shared" si="30"/>
        <v>11.986824561050726</v>
      </c>
      <c r="Q117" s="38">
        <f t="shared" si="30"/>
        <v>6.592753508577899</v>
      </c>
      <c r="R117" s="38">
        <f t="shared" si="30"/>
        <v>5.2941808477974037</v>
      </c>
      <c r="S117">
        <f t="shared" si="30"/>
        <v>19.978040935084543</v>
      </c>
      <c r="T117" s="34">
        <f t="shared" si="27"/>
        <v>10.508810370706792</v>
      </c>
    </row>
    <row r="118" spans="4:20">
      <c r="D118" s="65">
        <f t="shared" si="31"/>
        <v>759.14469714673692</v>
      </c>
      <c r="E118" s="162">
        <v>14.3000000000001</v>
      </c>
      <c r="F118" s="9">
        <f t="shared" si="28"/>
        <v>4.9418094670999722</v>
      </c>
      <c r="G118" s="36">
        <f t="shared" si="21"/>
        <v>70.667875379530102</v>
      </c>
      <c r="H118" s="36">
        <f t="shared" si="22"/>
        <v>62.183926839762336</v>
      </c>
      <c r="I118" s="9">
        <f t="shared" si="23"/>
        <v>87.994617788912251</v>
      </c>
      <c r="J118" s="37">
        <f t="shared" si="24"/>
        <v>5114.4466338794819</v>
      </c>
      <c r="K118" s="38">
        <f t="shared" si="25"/>
        <v>62.183926839763544</v>
      </c>
      <c r="L118" s="2">
        <f t="shared" si="32"/>
        <v>10.742429895757605</v>
      </c>
      <c r="M118" s="38">
        <f t="shared" si="33"/>
        <v>80.413747596754021</v>
      </c>
      <c r="N118" s="38">
        <f t="shared" si="34"/>
        <v>72.238943721809079</v>
      </c>
      <c r="O118" s="38">
        <f t="shared" si="29"/>
        <v>15.783692293133498</v>
      </c>
      <c r="P118" s="38">
        <f t="shared" si="30"/>
        <v>11.837769219850124</v>
      </c>
      <c r="Q118" s="38">
        <f t="shared" si="30"/>
        <v>6.5107730709175682</v>
      </c>
      <c r="R118" s="38">
        <f t="shared" si="30"/>
        <v>5.2283480721004718</v>
      </c>
      <c r="S118">
        <f t="shared" si="30"/>
        <v>19.729615366416873</v>
      </c>
      <c r="T118" s="34">
        <f t="shared" si="27"/>
        <v>10.504806581575647</v>
      </c>
    </row>
    <row r="119" spans="4:20">
      <c r="D119" s="65">
        <f t="shared" si="31"/>
        <v>769.03738826806739</v>
      </c>
      <c r="E119" s="162">
        <v>14.4000000000001</v>
      </c>
      <c r="F119" s="9">
        <f t="shared" si="28"/>
        <v>5.0036017138094717</v>
      </c>
      <c r="G119" s="36">
        <f t="shared" si="21"/>
        <v>72.051864678856887</v>
      </c>
      <c r="H119" s="36">
        <f t="shared" si="22"/>
        <v>63.403390334614826</v>
      </c>
      <c r="I119" s="9">
        <f t="shared" si="23"/>
        <v>87.996876440617783</v>
      </c>
      <c r="J119" s="37">
        <f t="shared" si="24"/>
        <v>5147.6628795874731</v>
      </c>
      <c r="K119" s="38">
        <f t="shared" si="25"/>
        <v>63.403390334614684</v>
      </c>
      <c r="L119" s="2">
        <f t="shared" si="32"/>
        <v>10.673386340461166</v>
      </c>
      <c r="M119" s="38">
        <f t="shared" si="33"/>
        <v>81.990708632539096</v>
      </c>
      <c r="N119" s="38">
        <f t="shared" si="34"/>
        <v>73.655592030339847</v>
      </c>
      <c r="O119" s="38">
        <f t="shared" si="29"/>
        <v>15.588770741829292</v>
      </c>
      <c r="P119" s="38">
        <f t="shared" si="30"/>
        <v>11.691578056371968</v>
      </c>
      <c r="Q119" s="38">
        <f t="shared" si="30"/>
        <v>6.4303679310045831</v>
      </c>
      <c r="R119" s="38">
        <f t="shared" si="30"/>
        <v>5.1637803082309528</v>
      </c>
      <c r="S119">
        <f t="shared" si="30"/>
        <v>19.485963427286613</v>
      </c>
      <c r="T119" s="34">
        <f t="shared" si="27"/>
        <v>10.500801251185727</v>
      </c>
    </row>
    <row r="120" spans="4:20">
      <c r="D120" s="65">
        <f t="shared" si="31"/>
        <v>778.9845446419157</v>
      </c>
      <c r="E120" s="162">
        <v>14.500000000000099</v>
      </c>
      <c r="F120" s="9">
        <f t="shared" si="28"/>
        <v>5.065734164238874</v>
      </c>
      <c r="G120" s="36">
        <f t="shared" si="21"/>
        <v>73.453145381464182</v>
      </c>
      <c r="H120" s="36">
        <f t="shared" si="22"/>
        <v>64.637501591890754</v>
      </c>
      <c r="I120" s="9">
        <f t="shared" si="23"/>
        <v>87.998275984246618</v>
      </c>
      <c r="J120" s="37">
        <f t="shared" si="24"/>
        <v>5180.8472822272797</v>
      </c>
      <c r="K120" s="38">
        <f t="shared" si="25"/>
        <v>64.637501591891052</v>
      </c>
      <c r="L120" s="2">
        <f t="shared" si="32"/>
        <v>10.605189751867202</v>
      </c>
      <c r="M120" s="38">
        <f t="shared" si="33"/>
        <v>83.586611564250958</v>
      </c>
      <c r="N120" s="38">
        <f t="shared" si="34"/>
        <v>75.089256615250406</v>
      </c>
      <c r="O120" s="38">
        <f t="shared" si="29"/>
        <v>15.397570711592897</v>
      </c>
      <c r="P120" s="38">
        <f t="shared" si="30"/>
        <v>11.548178033694672</v>
      </c>
      <c r="Q120" s="38">
        <f t="shared" si="30"/>
        <v>6.3514979185320692</v>
      </c>
      <c r="R120" s="38">
        <f t="shared" si="30"/>
        <v>5.1004452982151465</v>
      </c>
      <c r="S120">
        <f t="shared" si="30"/>
        <v>19.246963389491121</v>
      </c>
      <c r="T120" s="34">
        <f t="shared" si="27"/>
        <v>10.496794377755734</v>
      </c>
    </row>
    <row r="121" spans="4:20">
      <c r="D121" s="65">
        <f t="shared" si="31"/>
        <v>788.9860099270752</v>
      </c>
      <c r="E121" s="162">
        <v>14.600000000000099</v>
      </c>
      <c r="F121" s="9">
        <f t="shared" si="28"/>
        <v>5.1282058418416527</v>
      </c>
      <c r="G121" s="36">
        <f t="shared" si="21"/>
        <v>74.871805290888645</v>
      </c>
      <c r="H121" s="36">
        <f t="shared" si="22"/>
        <v>65.886320333785292</v>
      </c>
      <c r="I121" s="9">
        <f t="shared" si="23"/>
        <v>87.998840254761674</v>
      </c>
      <c r="J121" s="37">
        <f t="shared" si="24"/>
        <v>5213.9999332036596</v>
      </c>
      <c r="K121" s="38">
        <f t="shared" si="25"/>
        <v>65.886320333786159</v>
      </c>
      <c r="L121" s="2">
        <f t="shared" si="32"/>
        <v>10.537825378481813</v>
      </c>
      <c r="M121" s="38">
        <f t="shared" si="33"/>
        <v>85.201533622222925</v>
      </c>
      <c r="N121" s="38">
        <f t="shared" si="34"/>
        <v>76.54000685569379</v>
      </c>
      <c r="O121" s="38">
        <f t="shared" si="29"/>
        <v>15.209997883390045</v>
      </c>
      <c r="P121" s="38">
        <f t="shared" si="30"/>
        <v>11.407498412542534</v>
      </c>
      <c r="Q121" s="38">
        <f t="shared" si="30"/>
        <v>6.2741241268983936</v>
      </c>
      <c r="R121" s="38">
        <f t="shared" si="30"/>
        <v>5.038311798872952</v>
      </c>
      <c r="S121">
        <f t="shared" si="30"/>
        <v>19.012497354237556</v>
      </c>
      <c r="T121" s="34">
        <f t="shared" si="27"/>
        <v>10.492785959500942</v>
      </c>
    </row>
    <row r="122" spans="4:20">
      <c r="D122" s="65">
        <f t="shared" si="31"/>
        <v>799.04162852886645</v>
      </c>
      <c r="E122" s="162">
        <v>14.700000000000101</v>
      </c>
      <c r="F122" s="9">
        <f t="shared" si="28"/>
        <v>5.1910157747342627</v>
      </c>
      <c r="G122" s="36">
        <f t="shared" si="21"/>
        <v>76.307931888594183</v>
      </c>
      <c r="H122" s="36">
        <f t="shared" si="22"/>
        <v>67.149905900131813</v>
      </c>
      <c r="I122" s="9">
        <f t="shared" si="23"/>
        <v>87.998592332665183</v>
      </c>
      <c r="J122" s="37">
        <f t="shared" si="24"/>
        <v>5247.1209234849121</v>
      </c>
      <c r="K122" s="38">
        <f t="shared" si="25"/>
        <v>67.149905900131884</v>
      </c>
      <c r="L122" s="2">
        <f t="shared" si="32"/>
        <v>10.471278787838568</v>
      </c>
      <c r="M122" s="38">
        <f t="shared" si="33"/>
        <v>86.835551542333619</v>
      </c>
      <c r="N122" s="38">
        <f t="shared" si="34"/>
        <v>78.007911686634287</v>
      </c>
      <c r="O122" s="38">
        <f t="shared" si="29"/>
        <v>15.025960887971479</v>
      </c>
      <c r="P122" s="38">
        <f t="shared" ref="P122:S141" si="35">0.65*60*P$58/($F122*1000)</f>
        <v>11.269470665978609</v>
      </c>
      <c r="Q122" s="38">
        <f t="shared" si="35"/>
        <v>6.1982088662882351</v>
      </c>
      <c r="R122" s="38">
        <f t="shared" si="35"/>
        <v>4.9773495441405524</v>
      </c>
      <c r="S122">
        <f t="shared" si="35"/>
        <v>18.782451109964349</v>
      </c>
      <c r="T122" s="34">
        <f t="shared" si="27"/>
        <v>10.488775994633178</v>
      </c>
    </row>
    <row r="123" spans="4:20">
      <c r="D123" s="65">
        <f t="shared" si="31"/>
        <v>809.15124559416302</v>
      </c>
      <c r="E123" s="162">
        <v>14.8000000000001</v>
      </c>
      <c r="F123" s="9">
        <f t="shared" si="28"/>
        <v>5.254162995664819</v>
      </c>
      <c r="G123" s="36">
        <f t="shared" si="21"/>
        <v>77.761612335839843</v>
      </c>
      <c r="H123" s="36">
        <f t="shared" si="22"/>
        <v>68.428317251228492</v>
      </c>
      <c r="I123" s="9">
        <f t="shared" si="23"/>
        <v>87.997554571910939</v>
      </c>
      <c r="J123" s="37">
        <f t="shared" si="24"/>
        <v>5280.2103436058123</v>
      </c>
      <c r="K123" s="38">
        <f t="shared" si="25"/>
        <v>68.428317251228478</v>
      </c>
      <c r="L123" s="2">
        <f t="shared" si="32"/>
        <v>10.405535858741837</v>
      </c>
      <c r="M123" s="38">
        <f t="shared" si="33"/>
        <v>88.488741569666672</v>
      </c>
      <c r="N123" s="38">
        <f t="shared" si="34"/>
        <v>79.493039602135042</v>
      </c>
      <c r="O123" s="38">
        <f t="shared" si="29"/>
        <v>14.845371196964647</v>
      </c>
      <c r="P123" s="38">
        <f t="shared" si="35"/>
        <v>11.134028397723485</v>
      </c>
      <c r="Q123" s="38">
        <f t="shared" si="35"/>
        <v>6.1237156187479176</v>
      </c>
      <c r="R123" s="38">
        <f t="shared" si="35"/>
        <v>4.9175292089945399</v>
      </c>
      <c r="S123">
        <f t="shared" si="35"/>
        <v>18.556713996205811</v>
      </c>
      <c r="T123" s="34">
        <f t="shared" si="27"/>
        <v>10.48476448136082</v>
      </c>
    </row>
    <row r="124" spans="4:20">
      <c r="D124" s="65">
        <f t="shared" si="31"/>
        <v>819.31470700644354</v>
      </c>
      <c r="E124" s="162">
        <v>14.9000000000001</v>
      </c>
      <c r="F124" s="9">
        <f t="shared" si="28"/>
        <v>5.317646541982624</v>
      </c>
      <c r="G124" s="36">
        <f t="shared" si="21"/>
        <v>79.232933475541628</v>
      </c>
      <c r="H124" s="36">
        <f t="shared" si="22"/>
        <v>69.721612970646419</v>
      </c>
      <c r="I124" s="9">
        <f t="shared" si="23"/>
        <v>87.995748626634835</v>
      </c>
      <c r="J124" s="37">
        <f t="shared" si="24"/>
        <v>5313.2682836704653</v>
      </c>
      <c r="K124" s="38">
        <f t="shared" si="25"/>
        <v>69.721612970646902</v>
      </c>
      <c r="L124" s="2">
        <f t="shared" si="32"/>
        <v>10.340582773694191</v>
      </c>
      <c r="M124" s="38">
        <f t="shared" si="33"/>
        <v>90.161179462134612</v>
      </c>
      <c r="N124" s="38">
        <f t="shared" si="34"/>
        <v>80.995458658613501</v>
      </c>
      <c r="O124" s="38">
        <f t="shared" si="29"/>
        <v>14.668143018568999</v>
      </c>
      <c r="P124" s="38">
        <f t="shared" si="35"/>
        <v>11.00110726392675</v>
      </c>
      <c r="Q124" s="38">
        <f t="shared" si="35"/>
        <v>6.0506089951597124</v>
      </c>
      <c r="R124" s="38">
        <f t="shared" si="35"/>
        <v>4.8588223749009813</v>
      </c>
      <c r="S124">
        <f t="shared" si="35"/>
        <v>18.335178773211251</v>
      </c>
      <c r="T124" s="34">
        <f t="shared" si="27"/>
        <v>10.480751417888779</v>
      </c>
    </row>
    <row r="125" spans="4:20">
      <c r="D125" s="65">
        <f t="shared" si="31"/>
        <v>829.53185938089621</v>
      </c>
      <c r="E125" s="162">
        <v>15.000000000000099</v>
      </c>
      <c r="F125" s="9">
        <f t="shared" si="28"/>
        <v>5.381465455607545</v>
      </c>
      <c r="G125" s="36">
        <f t="shared" si="21"/>
        <v>80.721981834113706</v>
      </c>
      <c r="H125" s="36">
        <f t="shared" si="22"/>
        <v>71.029851268007491</v>
      </c>
      <c r="I125" s="9">
        <f t="shared" si="23"/>
        <v>87.993195476761386</v>
      </c>
      <c r="J125" s="37">
        <f t="shared" si="24"/>
        <v>5346.2948333551731</v>
      </c>
      <c r="K125" s="38">
        <f t="shared" si="25"/>
        <v>71.029851268007221</v>
      </c>
      <c r="L125" s="2">
        <f t="shared" si="32"/>
        <v>10.276406011507635</v>
      </c>
      <c r="M125" s="38">
        <f t="shared" si="33"/>
        <v>91.852940494071774</v>
      </c>
      <c r="N125" s="38">
        <f t="shared" si="34"/>
        <v>82.515236478069184</v>
      </c>
      <c r="O125" s="38">
        <f t="shared" si="29"/>
        <v>14.494193197639717</v>
      </c>
      <c r="P125" s="38">
        <f t="shared" si="35"/>
        <v>10.870644898229788</v>
      </c>
      <c r="Q125" s="38">
        <f t="shared" si="35"/>
        <v>5.978854694026384</v>
      </c>
      <c r="R125" s="38">
        <f t="shared" si="35"/>
        <v>4.8012014967181562</v>
      </c>
      <c r="S125">
        <f t="shared" si="35"/>
        <v>18.117741497049646</v>
      </c>
      <c r="T125" s="34">
        <f t="shared" si="27"/>
        <v>10.476736802418504</v>
      </c>
    </row>
    <row r="126" spans="4:20">
      <c r="D126" s="65">
        <f t="shared" si="31"/>
        <v>839.80255005957372</v>
      </c>
      <c r="E126" s="162">
        <v>15.100000000000099</v>
      </c>
      <c r="F126" s="9">
        <f t="shared" si="28"/>
        <v>5.4456187829993237</v>
      </c>
      <c r="G126" s="36">
        <f t="shared" si="21"/>
        <v>82.228843623290331</v>
      </c>
      <c r="H126" s="36">
        <f t="shared" si="22"/>
        <v>72.353089981733063</v>
      </c>
      <c r="I126" s="9">
        <f t="shared" si="23"/>
        <v>87.989915452538256</v>
      </c>
      <c r="J126" s="37">
        <f t="shared" si="24"/>
        <v>5379.290081911302</v>
      </c>
      <c r="K126" s="38">
        <f t="shared" si="25"/>
        <v>72.353089981733163</v>
      </c>
      <c r="L126" s="2">
        <f t="shared" si="32"/>
        <v>10.212992340095486</v>
      </c>
      <c r="M126" s="38">
        <f t="shared" si="33"/>
        <v>93.564099459796196</v>
      </c>
      <c r="N126" s="38">
        <f t="shared" si="34"/>
        <v>84.052440251283528</v>
      </c>
      <c r="O126" s="38">
        <f t="shared" si="29"/>
        <v>14.323441119952831</v>
      </c>
      <c r="P126" s="38">
        <f t="shared" si="35"/>
        <v>10.742580839964623</v>
      </c>
      <c r="Q126" s="38">
        <f t="shared" si="35"/>
        <v>5.908419461980543</v>
      </c>
      <c r="R126" s="38">
        <f t="shared" si="35"/>
        <v>4.7446398709843756</v>
      </c>
      <c r="S126">
        <f t="shared" si="35"/>
        <v>17.904301399941041</v>
      </c>
      <c r="T126" s="34">
        <f t="shared" ref="T126:T157" si="36">($B$69*$B$63+SQRT($B$69^2*$B$63^2+4*$B$69*($Y$58-(E126*$B$63))))/(2*$B$69)</f>
        <v>10.472720633147951</v>
      </c>
    </row>
    <row r="127" spans="4:20">
      <c r="D127" s="65">
        <f t="shared" si="31"/>
        <v>850.12662710656775</v>
      </c>
      <c r="E127" s="162">
        <v>15.200000000000101</v>
      </c>
      <c r="F127" s="9">
        <f t="shared" ref="F127:F158" si="37">(0.5+(0.00000036*$B$65*$B$68^3*($B$62*0.0254)*($B$61*0.0254)^4)*($B$69+$B$70)*$E127-(0.25-(0.00000036*$B$65*$B$68^3*($B$62*0.0254)*($B$61*0.0254)^4)*(($B$69+$B$70)^2*$B$63-($B$69+$B$70)*$E127))^(1/2))/((0.00000036*$B$65*$B$68^3*($B$62*0.0254)*($B$61*0.0254)^4)*($B$69+$B$70)^2)</f>
        <v>5.5101055751280121</v>
      </c>
      <c r="G127" s="36">
        <f t="shared" si="21"/>
        <v>83.753604741946333</v>
      </c>
      <c r="H127" s="36">
        <f t="shared" si="22"/>
        <v>73.691386581778829</v>
      </c>
      <c r="I127" s="9">
        <f t="shared" si="23"/>
        <v>87.985928258049</v>
      </c>
      <c r="J127" s="37">
        <f t="shared" si="24"/>
        <v>5412.2541181680572</v>
      </c>
      <c r="K127" s="38">
        <f t="shared" si="25"/>
        <v>73.691386581779113</v>
      </c>
      <c r="L127" s="2">
        <f t="shared" si="32"/>
        <v>10.150328809439275</v>
      </c>
      <c r="M127" s="38">
        <f t="shared" si="33"/>
        <v>95.294730677136258</v>
      </c>
      <c r="N127" s="38">
        <f t="shared" si="34"/>
        <v>85.607136740987755</v>
      </c>
      <c r="O127" s="38">
        <f t="shared" ref="O127:O158" si="38">0.65*60*O$58/(F127*1000)</f>
        <v>14.155808620452412</v>
      </c>
      <c r="P127" s="38">
        <f t="shared" si="35"/>
        <v>10.616856465339309</v>
      </c>
      <c r="Q127" s="38">
        <f t="shared" si="35"/>
        <v>5.8392710559366199</v>
      </c>
      <c r="R127" s="38">
        <f t="shared" si="35"/>
        <v>4.6891116055248609</v>
      </c>
      <c r="S127">
        <f t="shared" si="35"/>
        <v>17.694760775565513</v>
      </c>
      <c r="T127" s="34">
        <f t="shared" si="36"/>
        <v>10.468702908271599</v>
      </c>
    </row>
    <row r="128" spans="4:20">
      <c r="D128" s="65">
        <f t="shared" si="31"/>
        <v>860.50393930324481</v>
      </c>
      <c r="E128" s="162">
        <v>15.3000000000001</v>
      </c>
      <c r="F128" s="9">
        <f t="shared" si="37"/>
        <v>5.5749248874438377</v>
      </c>
      <c r="G128" s="36">
        <f t="shared" si="21"/>
        <v>85.296350777891277</v>
      </c>
      <c r="H128" s="36">
        <f t="shared" si="22"/>
        <v>75.044798172334794</v>
      </c>
      <c r="I128" s="9">
        <f t="shared" si="23"/>
        <v>87.981252993752136</v>
      </c>
      <c r="J128" s="37">
        <f t="shared" si="24"/>
        <v>5445.1870305352959</v>
      </c>
      <c r="K128" s="38">
        <f t="shared" si="25"/>
        <v>75.044798172335049</v>
      </c>
      <c r="L128" s="2">
        <f t="shared" si="32"/>
        <v>10.088402744731331</v>
      </c>
      <c r="M128" s="38">
        <f t="shared" si="33"/>
        <v>97.044907990928778</v>
      </c>
      <c r="N128" s="38">
        <f t="shared" si="34"/>
        <v>87.179392285005591</v>
      </c>
      <c r="O128" s="38">
        <f t="shared" si="38"/>
        <v>13.991219895298684</v>
      </c>
      <c r="P128" s="38">
        <f t="shared" si="35"/>
        <v>10.493414921474013</v>
      </c>
      <c r="Q128" s="38">
        <f t="shared" si="35"/>
        <v>5.7713782068107067</v>
      </c>
      <c r="R128" s="38">
        <f t="shared" si="35"/>
        <v>4.6345915903176884</v>
      </c>
      <c r="S128">
        <f t="shared" si="35"/>
        <v>17.489024869123355</v>
      </c>
      <c r="T128" s="34">
        <f t="shared" si="36"/>
        <v>10.464683625980419</v>
      </c>
    </row>
    <row r="129" spans="4:20">
      <c r="D129" s="65">
        <f t="shared" si="31"/>
        <v>870.93433614351204</v>
      </c>
      <c r="E129" s="162">
        <v>15.4000000000001</v>
      </c>
      <c r="F129" s="9">
        <f t="shared" si="37"/>
        <v>5.6400757798477761</v>
      </c>
      <c r="G129" s="36">
        <f t="shared" si="21"/>
        <v>86.857167009656308</v>
      </c>
      <c r="H129" s="36">
        <f t="shared" si="22"/>
        <v>76.413381494506865</v>
      </c>
      <c r="I129" s="9">
        <f t="shared" si="23"/>
        <v>87.975908178091558</v>
      </c>
      <c r="J129" s="37">
        <f t="shared" si="24"/>
        <v>5478.0889070062876</v>
      </c>
      <c r="K129" s="38">
        <f t="shared" si="25"/>
        <v>76.413381494506424</v>
      </c>
      <c r="L129" s="2">
        <f t="shared" si="32"/>
        <v>10.027201739687023</v>
      </c>
      <c r="M129" s="38">
        <f t="shared" si="33"/>
        <v>98.814704776484064</v>
      </c>
      <c r="N129" s="38">
        <f t="shared" si="34"/>
        <v>88.769272799365808</v>
      </c>
      <c r="O129" s="38">
        <f t="shared" si="38"/>
        <v>13.829601417537194</v>
      </c>
      <c r="P129" s="38">
        <f t="shared" si="35"/>
        <v>10.372201063152895</v>
      </c>
      <c r="Q129" s="38">
        <f t="shared" si="35"/>
        <v>5.7047105847340926</v>
      </c>
      <c r="R129" s="38">
        <f t="shared" si="35"/>
        <v>4.5810554695591952</v>
      </c>
      <c r="S129">
        <f t="shared" si="35"/>
        <v>17.287001771921492</v>
      </c>
      <c r="T129" s="34">
        <f t="shared" si="36"/>
        <v>10.460662784461874</v>
      </c>
    </row>
    <row r="130" spans="4:20">
      <c r="D130" s="65">
        <f t="shared" si="31"/>
        <v>881.41766782912862</v>
      </c>
      <c r="E130" s="162">
        <v>15.500000000000099</v>
      </c>
      <c r="F130" s="9">
        <f t="shared" si="37"/>
        <v>5.7055573166620501</v>
      </c>
      <c r="G130" s="36">
        <f t="shared" si="21"/>
        <v>88.436138408262352</v>
      </c>
      <c r="H130" s="36">
        <f t="shared" si="22"/>
        <v>77.797192928970304</v>
      </c>
      <c r="I130" s="9">
        <f t="shared" si="23"/>
        <v>87.969911768221124</v>
      </c>
      <c r="J130" s="37">
        <f t="shared" si="24"/>
        <v>5510.9598351604709</v>
      </c>
      <c r="K130" s="38">
        <f t="shared" si="25"/>
        <v>77.797192928970446</v>
      </c>
      <c r="L130" s="2">
        <f t="shared" si="32"/>
        <v>9.9667136500250013</v>
      </c>
      <c r="M130" s="38">
        <f t="shared" si="33"/>
        <v>100.60419394302112</v>
      </c>
      <c r="N130" s="38">
        <f t="shared" si="34"/>
        <v>90.376843781388786</v>
      </c>
      <c r="O130" s="38">
        <f t="shared" si="38"/>
        <v>13.670881856223771</v>
      </c>
      <c r="P130" s="38">
        <f t="shared" si="35"/>
        <v>10.253161392167828</v>
      </c>
      <c r="Q130" s="38">
        <f t="shared" si="35"/>
        <v>5.6392387656923058</v>
      </c>
      <c r="R130" s="38">
        <f t="shared" si="35"/>
        <v>4.528479614874124</v>
      </c>
      <c r="S130">
        <f t="shared" si="35"/>
        <v>17.088602320279712</v>
      </c>
      <c r="T130" s="34">
        <f t="shared" si="36"/>
        <v>10.456640381899911</v>
      </c>
    </row>
    <row r="131" spans="4:20">
      <c r="D131" s="65">
        <f t="shared" si="31"/>
        <v>891.9537852650468</v>
      </c>
      <c r="E131" s="162">
        <v>15.600000000000099</v>
      </c>
      <c r="F131" s="9">
        <f t="shared" si="37"/>
        <v>5.7713685666014678</v>
      </c>
      <c r="G131" s="36">
        <f t="shared" si="21"/>
        <v>90.033349638983466</v>
      </c>
      <c r="H131" s="36">
        <f t="shared" si="22"/>
        <v>79.196288498607004</v>
      </c>
      <c r="I131" s="9">
        <f t="shared" si="23"/>
        <v>87.963281179883893</v>
      </c>
      <c r="J131" s="37">
        <f t="shared" si="24"/>
        <v>5543.7999021661408</v>
      </c>
      <c r="K131" s="38">
        <f t="shared" si="25"/>
        <v>79.196288498607288</v>
      </c>
      <c r="L131" s="2">
        <f t="shared" si="32"/>
        <v>9.9069265871103447</v>
      </c>
      <c r="M131" s="38">
        <f t="shared" si="33"/>
        <v>102.41344793707049</v>
      </c>
      <c r="N131" s="38">
        <f t="shared" si="34"/>
        <v>92.00217031274255</v>
      </c>
      <c r="O131" s="38">
        <f t="shared" si="38"/>
        <v>13.514991998844241</v>
      </c>
      <c r="P131" s="38">
        <f t="shared" si="35"/>
        <v>10.136243999133182</v>
      </c>
      <c r="Q131" s="38">
        <f t="shared" si="35"/>
        <v>5.5749341995232493</v>
      </c>
      <c r="R131" s="38">
        <f t="shared" si="35"/>
        <v>4.4768410996171548</v>
      </c>
      <c r="S131">
        <f t="shared" si="35"/>
        <v>16.893739998555301</v>
      </c>
      <c r="T131" s="34">
        <f t="shared" si="36"/>
        <v>10.452616416474948</v>
      </c>
    </row>
    <row r="132" spans="4:20">
      <c r="D132" s="65">
        <f t="shared" si="31"/>
        <v>902.5425400548055</v>
      </c>
      <c r="E132" s="162">
        <v>15.700000000000101</v>
      </c>
      <c r="F132" s="9">
        <f t="shared" si="37"/>
        <v>5.8375086027442737</v>
      </c>
      <c r="G132" s="36">
        <f t="shared" si="21"/>
        <v>91.648885063085686</v>
      </c>
      <c r="H132" s="36">
        <f t="shared" si="22"/>
        <v>80.610723871110167</v>
      </c>
      <c r="I132" s="9">
        <f t="shared" si="23"/>
        <v>87.956033306485409</v>
      </c>
      <c r="J132" s="37">
        <f t="shared" si="24"/>
        <v>5576.6091947831756</v>
      </c>
      <c r="K132" s="38">
        <f t="shared" si="25"/>
        <v>80.610723871109997</v>
      </c>
      <c r="L132" s="2">
        <f t="shared" si="32"/>
        <v>9.8478289117597928</v>
      </c>
      <c r="M132" s="38">
        <f t="shared" si="33"/>
        <v>104.24253874584871</v>
      </c>
      <c r="N132" s="38">
        <f t="shared" si="34"/>
        <v>93.645317062474987</v>
      </c>
      <c r="O132" s="38">
        <f t="shared" si="38"/>
        <v>13.361864676881398</v>
      </c>
      <c r="P132" s="38">
        <f t="shared" si="35"/>
        <v>10.021398507661049</v>
      </c>
      <c r="Q132" s="38">
        <f t="shared" si="35"/>
        <v>5.5117691792135766</v>
      </c>
      <c r="R132" s="38">
        <f t="shared" si="35"/>
        <v>4.4261176742169628</v>
      </c>
      <c r="S132">
        <f t="shared" si="35"/>
        <v>16.702330846101749</v>
      </c>
      <c r="T132" s="34">
        <f t="shared" si="36"/>
        <v>10.448590886363867</v>
      </c>
    </row>
    <row r="133" spans="4:20">
      <c r="D133" s="65">
        <f t="shared" si="31"/>
        <v>913.18378449595377</v>
      </c>
      <c r="E133" s="162">
        <v>15.8000000000001</v>
      </c>
      <c r="F133" s="9">
        <f t="shared" si="37"/>
        <v>5.9039765025036255</v>
      </c>
      <c r="G133" s="36">
        <f t="shared" si="21"/>
        <v>93.282828739557871</v>
      </c>
      <c r="H133" s="36">
        <f t="shared" si="22"/>
        <v>82.040554361570443</v>
      </c>
      <c r="I133" s="9">
        <f t="shared" si="23"/>
        <v>87.948184537397083</v>
      </c>
      <c r="J133" s="37">
        <f t="shared" si="24"/>
        <v>5609.3877993656997</v>
      </c>
      <c r="K133" s="38">
        <f t="shared" si="25"/>
        <v>82.04055436156969</v>
      </c>
      <c r="L133" s="2">
        <f t="shared" si="32"/>
        <v>9.7894092282034926</v>
      </c>
      <c r="M133" s="38">
        <f t="shared" si="33"/>
        <v>106.09153790060205</v>
      </c>
      <c r="N133" s="38">
        <f t="shared" si="34"/>
        <v>95.306348290017155</v>
      </c>
      <c r="O133" s="38">
        <f t="shared" si="38"/>
        <v>13.21143469438327</v>
      </c>
      <c r="P133" s="38">
        <f t="shared" si="35"/>
        <v>9.9085760207874536</v>
      </c>
      <c r="Q133" s="38">
        <f t="shared" si="35"/>
        <v>5.4497168114330989</v>
      </c>
      <c r="R133" s="38">
        <f t="shared" si="35"/>
        <v>4.3762877425144584</v>
      </c>
      <c r="S133">
        <f t="shared" si="35"/>
        <v>16.514293367979089</v>
      </c>
      <c r="T133" s="34">
        <f t="shared" si="36"/>
        <v>10.444563789739995</v>
      </c>
    </row>
    <row r="134" spans="4:20">
      <c r="D134" s="65">
        <f t="shared" si="31"/>
        <v>923.87737157551976</v>
      </c>
      <c r="E134" s="162">
        <v>15.9000000000001</v>
      </c>
      <c r="F134" s="9">
        <f t="shared" si="37"/>
        <v>5.9707713475992827</v>
      </c>
      <c r="G134" s="36">
        <f t="shared" si="21"/>
        <v>94.935264426829193</v>
      </c>
      <c r="H134" s="36">
        <f t="shared" si="22"/>
        <v>83.485834935038923</v>
      </c>
      <c r="I134" s="9">
        <f t="shared" si="23"/>
        <v>87.939750775524672</v>
      </c>
      <c r="J134" s="37">
        <f t="shared" si="24"/>
        <v>5642.1358018647461</v>
      </c>
      <c r="K134" s="38">
        <f t="shared" si="25"/>
        <v>83.485834935038909</v>
      </c>
      <c r="L134" s="2">
        <f t="shared" si="32"/>
        <v>9.7316563782006735</v>
      </c>
      <c r="M134" s="38">
        <f t="shared" si="33"/>
        <v>107.9605164799209</v>
      </c>
      <c r="N134" s="38">
        <f t="shared" si="34"/>
        <v>96.985327848160878</v>
      </c>
      <c r="O134" s="38">
        <f t="shared" si="38"/>
        <v>13.063638759397831</v>
      </c>
      <c r="P134" s="38">
        <f t="shared" si="35"/>
        <v>9.7977290695483727</v>
      </c>
      <c r="Q134" s="38">
        <f t="shared" si="35"/>
        <v>5.3887509882516049</v>
      </c>
      <c r="R134" s="38">
        <f t="shared" si="35"/>
        <v>4.3273303390505315</v>
      </c>
      <c r="S134">
        <f t="shared" si="35"/>
        <v>16.329548449247287</v>
      </c>
      <c r="T134" s="34">
        <f t="shared" si="36"/>
        <v>10.440535124773117</v>
      </c>
    </row>
    <row r="135" spans="4:20">
      <c r="D135" s="65">
        <f t="shared" si="31"/>
        <v>934.62315496550093</v>
      </c>
      <c r="E135" s="162">
        <v>16.000000000000099</v>
      </c>
      <c r="F135" s="9">
        <f t="shared" si="37"/>
        <v>6.0378922240297843</v>
      </c>
      <c r="G135" s="36">
        <f t="shared" si="21"/>
        <v>96.606275584477146</v>
      </c>
      <c r="H135" s="36">
        <f t="shared" si="22"/>
        <v>84.946620209070716</v>
      </c>
      <c r="I135" s="9">
        <f t="shared" si="23"/>
        <v>87.930747454174778</v>
      </c>
      <c r="J135" s="37">
        <f t="shared" si="24"/>
        <v>5674.8532878308515</v>
      </c>
      <c r="K135" s="38">
        <f t="shared" si="25"/>
        <v>84.946620209069977</v>
      </c>
      <c r="L135" s="2">
        <f t="shared" si="32"/>
        <v>9.6745594353052322</v>
      </c>
      <c r="M135" s="38">
        <f t="shared" si="33"/>
        <v>109.84954511302223</v>
      </c>
      <c r="N135" s="38">
        <f t="shared" si="34"/>
        <v>98.682319186007661</v>
      </c>
      <c r="O135" s="38">
        <f t="shared" si="38"/>
        <v>12.91841541814431</v>
      </c>
      <c r="P135" s="38">
        <f t="shared" si="35"/>
        <v>9.6888115636082315</v>
      </c>
      <c r="Q135" s="38">
        <f t="shared" si="35"/>
        <v>5.3288463599845279</v>
      </c>
      <c r="R135" s="38">
        <f t="shared" si="35"/>
        <v>4.2792251072603023</v>
      </c>
      <c r="S135">
        <f t="shared" si="35"/>
        <v>16.148019272680386</v>
      </c>
      <c r="T135" s="34">
        <f t="shared" si="36"/>
        <v>10.436504889629436</v>
      </c>
    </row>
    <row r="136" spans="4:20">
      <c r="D136" s="65">
        <f t="shared" si="31"/>
        <v>945.42098901842246</v>
      </c>
      <c r="E136" s="162">
        <v>16.100000000000101</v>
      </c>
      <c r="F136" s="9">
        <f t="shared" si="37"/>
        <v>6.1053382220439989</v>
      </c>
      <c r="G136" s="36">
        <f t="shared" si="21"/>
        <v>98.295945374908996</v>
      </c>
      <c r="H136" s="36">
        <f t="shared" si="22"/>
        <v>86.422964456234752</v>
      </c>
      <c r="I136" s="9">
        <f t="shared" si="23"/>
        <v>87.921189553251963</v>
      </c>
      <c r="J136" s="37">
        <f t="shared" si="24"/>
        <v>5707.5403424167207</v>
      </c>
      <c r="K136" s="38">
        <f t="shared" si="25"/>
        <v>86.422964456235135</v>
      </c>
      <c r="L136" s="2">
        <f t="shared" si="32"/>
        <v>9.6181076992800403</v>
      </c>
      <c r="M136" s="38">
        <f t="shared" si="33"/>
        <v>111.75869398300875</v>
      </c>
      <c r="N136" s="38">
        <f t="shared" si="34"/>
        <v>100.39738535189639</v>
      </c>
      <c r="O136" s="38">
        <f t="shared" si="38"/>
        <v>12.775704991800843</v>
      </c>
      <c r="P136" s="38">
        <f t="shared" si="35"/>
        <v>9.5817787438506326</v>
      </c>
      <c r="Q136" s="38">
        <f t="shared" si="35"/>
        <v>5.2699783091178478</v>
      </c>
      <c r="R136" s="38">
        <f t="shared" si="35"/>
        <v>4.2319522785340293</v>
      </c>
      <c r="S136">
        <f t="shared" si="35"/>
        <v>15.969631239751054</v>
      </c>
      <c r="T136" s="34">
        <f t="shared" si="36"/>
        <v>10.432473082471589</v>
      </c>
    </row>
    <row r="137" spans="4:20">
      <c r="D137" s="65">
        <f t="shared" si="31"/>
        <v>956.27072876289571</v>
      </c>
      <c r="E137" s="162">
        <v>16.200000000000099</v>
      </c>
      <c r="F137" s="9">
        <f t="shared" si="37"/>
        <v>6.1731084361142088</v>
      </c>
      <c r="G137" s="36">
        <f t="shared" si="21"/>
        <v>100.00435666505079</v>
      </c>
      <c r="H137" s="36">
        <f t="shared" si="22"/>
        <v>87.914921606618393</v>
      </c>
      <c r="I137" s="9">
        <f t="shared" si="23"/>
        <v>87.911091614814239</v>
      </c>
      <c r="J137" s="37">
        <f t="shared" si="24"/>
        <v>5740.1970503797493</v>
      </c>
      <c r="K137" s="38">
        <f t="shared" si="25"/>
        <v>87.914921606619103</v>
      </c>
      <c r="L137" s="2">
        <f t="shared" si="32"/>
        <v>9.5622906906523824</v>
      </c>
      <c r="M137" s="38">
        <f t="shared" si="33"/>
        <v>113.6880328300922</v>
      </c>
      <c r="N137" s="38">
        <f t="shared" si="34"/>
        <v>102.13058899629897</v>
      </c>
      <c r="O137" s="38">
        <f t="shared" si="38"/>
        <v>12.635449515787013</v>
      </c>
      <c r="P137" s="38">
        <f t="shared" si="35"/>
        <v>9.4765871368402603</v>
      </c>
      <c r="Q137" s="38">
        <f t="shared" si="35"/>
        <v>5.2121229252621433</v>
      </c>
      <c r="R137" s="38">
        <f t="shared" si="35"/>
        <v>4.1854926521044478</v>
      </c>
      <c r="S137">
        <f t="shared" si="35"/>
        <v>15.794311894733767</v>
      </c>
      <c r="T137" s="34">
        <f t="shared" si="36"/>
        <v>10.428439701458618</v>
      </c>
    </row>
    <row r="138" spans="4:20">
      <c r="D138" s="65">
        <f t="shared" si="31"/>
        <v>967.17222989924562</v>
      </c>
      <c r="E138" s="162">
        <v>16.3000000000001</v>
      </c>
      <c r="F138" s="9">
        <f t="shared" si="37"/>
        <v>6.2412019649082175</v>
      </c>
      <c r="G138" s="36">
        <f t="shared" si="21"/>
        <v>101.73159202800457</v>
      </c>
      <c r="H138" s="36">
        <f t="shared" si="22"/>
        <v>89.422545250294334</v>
      </c>
      <c r="I138" s="9">
        <f t="shared" si="23"/>
        <v>87.900467758017768</v>
      </c>
      <c r="J138" s="37">
        <f t="shared" si="24"/>
        <v>5772.8234960846294</v>
      </c>
      <c r="K138" s="38">
        <f t="shared" si="25"/>
        <v>89.422545250294377</v>
      </c>
      <c r="L138" s="2">
        <f t="shared" si="32"/>
        <v>9.5070981454119323</v>
      </c>
      <c r="M138" s="38">
        <f t="shared" si="33"/>
        <v>115.63763095479403</v>
      </c>
      <c r="N138" s="38">
        <f t="shared" si="34"/>
        <v>103.88199237469551</v>
      </c>
      <c r="O138" s="38">
        <f t="shared" si="38"/>
        <v>12.497592681435853</v>
      </c>
      <c r="P138" s="38">
        <f t="shared" si="35"/>
        <v>9.3731945110768891</v>
      </c>
      <c r="Q138" s="38">
        <f t="shared" si="35"/>
        <v>5.1552569810922888</v>
      </c>
      <c r="R138" s="38">
        <f t="shared" si="35"/>
        <v>4.1398275757256258</v>
      </c>
      <c r="S138">
        <f t="shared" si="35"/>
        <v>15.621990851794815</v>
      </c>
      <c r="T138" s="34">
        <f t="shared" si="36"/>
        <v>10.424404744745978</v>
      </c>
    </row>
    <row r="139" spans="4:20">
      <c r="D139" s="65">
        <f t="shared" si="31"/>
        <v>978.12534879516136</v>
      </c>
      <c r="E139" s="162">
        <v>16.400000000000102</v>
      </c>
      <c r="F139" s="9">
        <f t="shared" si="37"/>
        <v>6.3096179112622286</v>
      </c>
      <c r="G139" s="36">
        <f t="shared" si="21"/>
        <v>103.47773374470118</v>
      </c>
      <c r="H139" s="36">
        <f t="shared" si="22"/>
        <v>90.94588863977269</v>
      </c>
      <c r="I139" s="9">
        <f t="shared" si="23"/>
        <v>87.889331693476308</v>
      </c>
      <c r="J139" s="37">
        <f t="shared" si="24"/>
        <v>5805.4197635058954</v>
      </c>
      <c r="K139" s="38">
        <f t="shared" si="25"/>
        <v>90.945888639772761</v>
      </c>
      <c r="L139" s="2">
        <f t="shared" si="32"/>
        <v>9.4525200098446156</v>
      </c>
      <c r="M139" s="38">
        <f t="shared" si="33"/>
        <v>117.60755722111611</v>
      </c>
      <c r="N139" s="38">
        <f t="shared" si="34"/>
        <v>105.65165735042284</v>
      </c>
      <c r="O139" s="38">
        <f t="shared" si="38"/>
        <v>12.362079779946015</v>
      </c>
      <c r="P139" s="38">
        <f t="shared" si="35"/>
        <v>9.2715598349595112</v>
      </c>
      <c r="Q139" s="38">
        <f t="shared" si="35"/>
        <v>5.0993579092277308</v>
      </c>
      <c r="R139" s="38">
        <f t="shared" si="35"/>
        <v>4.0949389271071173</v>
      </c>
      <c r="S139">
        <f t="shared" si="35"/>
        <v>15.452599724932519</v>
      </c>
      <c r="T139" s="34">
        <f t="shared" si="36"/>
        <v>10.420368210485512</v>
      </c>
    </row>
    <row r="140" spans="4:20">
      <c r="D140" s="65">
        <f t="shared" ref="D140:D171" si="39">$C$60*0.6*((0.6*3.1416*($B$61*0.0254)^2*K140^2)^(1/3))/9.81*1000</f>
        <v>989.12994248137272</v>
      </c>
      <c r="E140" s="162">
        <v>16.500000000000099</v>
      </c>
      <c r="F140" s="9">
        <f t="shared" si="37"/>
        <v>6.3783553821541403</v>
      </c>
      <c r="G140" s="36">
        <f t="shared" si="21"/>
        <v>105.24286380554395</v>
      </c>
      <c r="H140" s="36">
        <f t="shared" si="22"/>
        <v>92.485004692434202</v>
      </c>
      <c r="I140" s="9">
        <f t="shared" si="23"/>
        <v>87.877696737061157</v>
      </c>
      <c r="J140" s="37">
        <f t="shared" si="24"/>
        <v>5837.9859362304105</v>
      </c>
      <c r="K140" s="38">
        <f t="shared" si="25"/>
        <v>92.485004692434174</v>
      </c>
      <c r="L140" s="2">
        <f t="shared" ref="L140:L171" si="40">D140/G140</f>
        <v>9.3985464354996733</v>
      </c>
      <c r="M140" s="38">
        <f t="shared" ref="M140:M171" si="41">1.30652287/($B$61*0.0254)*POWER(D140*0.00981,3/2)</f>
        <v>119.59788005968089</v>
      </c>
      <c r="N140" s="38">
        <f t="shared" ref="N140:N171" si="42">POWER(J140/$B$64,3)*100</f>
        <v>107.43964539749555</v>
      </c>
      <c r="O140" s="38">
        <f t="shared" si="38"/>
        <v>12.228857648514612</v>
      </c>
      <c r="P140" s="38">
        <f t="shared" si="35"/>
        <v>9.1716432363859592</v>
      </c>
      <c r="Q140" s="38">
        <f t="shared" si="35"/>
        <v>5.0444037800122778</v>
      </c>
      <c r="R140" s="38">
        <f t="shared" si="35"/>
        <v>4.0508090960704655</v>
      </c>
      <c r="S140">
        <f t="shared" si="35"/>
        <v>15.286072060643265</v>
      </c>
      <c r="T140" s="34">
        <f t="shared" si="36"/>
        <v>10.416330096825449</v>
      </c>
    </row>
    <row r="141" spans="4:20">
      <c r="D141" s="65">
        <f t="shared" si="39"/>
        <v>1000.1858686473872</v>
      </c>
      <c r="E141" s="162">
        <v>16.600000000000101</v>
      </c>
      <c r="F141" s="9">
        <f t="shared" si="37"/>
        <v>6.4474134886766308</v>
      </c>
      <c r="G141" s="36">
        <f t="shared" si="21"/>
        <v>107.02706391203272</v>
      </c>
      <c r="H141" s="36">
        <f t="shared" si="22"/>
        <v>94.039945992936524</v>
      </c>
      <c r="I141" s="9">
        <f t="shared" si="23"/>
        <v>87.865575823167006</v>
      </c>
      <c r="J141" s="37">
        <f t="shared" si="24"/>
        <v>5870.522097459906</v>
      </c>
      <c r="K141" s="38">
        <f t="shared" si="25"/>
        <v>94.03994599293695</v>
      </c>
      <c r="L141" s="2">
        <f t="shared" si="40"/>
        <v>9.3451677742879706</v>
      </c>
      <c r="M141" s="38">
        <f t="shared" si="41"/>
        <v>121.6086674708491</v>
      </c>
      <c r="N141" s="38">
        <f t="shared" si="42"/>
        <v>109.24601760340629</v>
      </c>
      <c r="O141" s="38">
        <f t="shared" si="38"/>
        <v>12.097874618556528</v>
      </c>
      <c r="P141" s="38">
        <f t="shared" si="35"/>
        <v>9.073405963917395</v>
      </c>
      <c r="Q141" s="38">
        <f t="shared" si="35"/>
        <v>4.990373280154567</v>
      </c>
      <c r="R141" s="38">
        <f t="shared" si="35"/>
        <v>4.0074209673968495</v>
      </c>
      <c r="S141">
        <f t="shared" si="35"/>
        <v>15.122343273195659</v>
      </c>
      <c r="T141" s="34">
        <f t="shared" si="36"/>
        <v>10.412290401910393</v>
      </c>
    </row>
    <row r="142" spans="4:20">
      <c r="D142" s="65">
        <f t="shared" si="39"/>
        <v>1011.2929856372324</v>
      </c>
      <c r="E142" s="162">
        <v>16.700000000000099</v>
      </c>
      <c r="F142" s="9">
        <f t="shared" si="37"/>
        <v>6.5167913460108062</v>
      </c>
      <c r="G142" s="36">
        <f t="shared" si="21"/>
        <v>108.83041547838111</v>
      </c>
      <c r="H142" s="36">
        <f t="shared" si="22"/>
        <v>95.610764795603686</v>
      </c>
      <c r="I142" s="9">
        <f t="shared" si="23"/>
        <v>87.852981517466063</v>
      </c>
      <c r="J142" s="37">
        <f t="shared" si="24"/>
        <v>5903.028330013427</v>
      </c>
      <c r="K142" s="38">
        <f t="shared" si="25"/>
        <v>95.610764795603998</v>
      </c>
      <c r="L142" s="2">
        <f t="shared" si="40"/>
        <v>9.2923745737065868</v>
      </c>
      <c r="M142" s="38">
        <f t="shared" si="41"/>
        <v>123.63998702780462</v>
      </c>
      <c r="N142" s="38">
        <f t="shared" si="42"/>
        <v>111.07083467189773</v>
      </c>
      <c r="O142" s="38">
        <f t="shared" si="38"/>
        <v>11.969080465917783</v>
      </c>
      <c r="P142" s="38">
        <f t="shared" ref="P142:S161" si="43">0.65*60*P$58/($F142*1000)</f>
        <v>8.9768103494383364</v>
      </c>
      <c r="Q142" s="38">
        <f t="shared" si="43"/>
        <v>4.9372456921910857</v>
      </c>
      <c r="R142" s="38">
        <f t="shared" si="43"/>
        <v>3.9647579043352654</v>
      </c>
      <c r="S142">
        <f t="shared" si="43"/>
        <v>14.961350582397229</v>
      </c>
      <c r="T142" s="34">
        <f t="shared" si="36"/>
        <v>10.408249123881316</v>
      </c>
    </row>
    <row r="143" spans="4:20">
      <c r="D143" s="65">
        <f t="shared" si="39"/>
        <v>1022.4511524452636</v>
      </c>
      <c r="E143" s="162">
        <v>16.8000000000001</v>
      </c>
      <c r="F143" s="9">
        <f t="shared" si="37"/>
        <v>6.5864880733997762</v>
      </c>
      <c r="G143" s="36">
        <f t="shared" si="21"/>
        <v>110.65299963311691</v>
      </c>
      <c r="H143" s="36">
        <f t="shared" si="22"/>
        <v>97.197513026791071</v>
      </c>
      <c r="I143" s="9">
        <f t="shared" si="23"/>
        <v>87.8399260291731</v>
      </c>
      <c r="J143" s="37">
        <f t="shared" si="24"/>
        <v>5935.5047163298204</v>
      </c>
      <c r="K143" s="38">
        <f t="shared" si="25"/>
        <v>97.197513026791114</v>
      </c>
      <c r="L143" s="2">
        <f t="shared" si="40"/>
        <v>9.2401575721880214</v>
      </c>
      <c r="M143" s="38">
        <f t="shared" si="41"/>
        <v>125.69190587961775</v>
      </c>
      <c r="N143" s="38">
        <f t="shared" si="42"/>
        <v>112.91415692571385</v>
      </c>
      <c r="O143" s="38">
        <f t="shared" si="38"/>
        <v>11.842426362997784</v>
      </c>
      <c r="P143" s="38">
        <f t="shared" si="43"/>
        <v>8.8818197722483383</v>
      </c>
      <c r="Q143" s="38">
        <f t="shared" si="43"/>
        <v>4.8850008747365861</v>
      </c>
      <c r="R143" s="38">
        <f t="shared" si="43"/>
        <v>3.9228037327430165</v>
      </c>
      <c r="S143">
        <f t="shared" si="43"/>
        <v>14.803032953747232</v>
      </c>
      <c r="T143" s="34">
        <f t="shared" si="36"/>
        <v>10.404206260875535</v>
      </c>
    </row>
    <row r="144" spans="4:20">
      <c r="D144" s="65">
        <f t="shared" si="39"/>
        <v>1033.6602287119842</v>
      </c>
      <c r="E144" s="162">
        <v>16.900000000000102</v>
      </c>
      <c r="F144" s="9">
        <f t="shared" si="37"/>
        <v>6.6565027941226456</v>
      </c>
      <c r="G144" s="36">
        <f t="shared" ref="G144:G189" si="44">E144*F144</f>
        <v>112.49489722067338</v>
      </c>
      <c r="H144" s="36">
        <f t="shared" ref="H144:H189" si="45">(E144-($B$69+$B$70)*F144)*(F144-$B$63)</f>
        <v>98.800242287232237</v>
      </c>
      <c r="I144" s="9">
        <f t="shared" ref="I144:I189" si="46">H144/G144*100</f>
        <v>87.826421222842413</v>
      </c>
      <c r="J144" s="37">
        <f t="shared" ref="J144:J189" si="47">$B$68*(E144-(F144*($B$69+$B$70)))</f>
        <v>5967.9513384701604</v>
      </c>
      <c r="K144" s="38">
        <f t="shared" ref="K144:K189" si="48">(($B$61*0.0254)^4)*($B$62*0.0254)*(J144^3)*2*$B$65*0.00000018</f>
        <v>98.800242287232422</v>
      </c>
      <c r="L144" s="2">
        <f t="shared" si="40"/>
        <v>9.1885076945696937</v>
      </c>
      <c r="M144" s="38">
        <f t="shared" si="41"/>
        <v>127.76449075427773</v>
      </c>
      <c r="N144" s="38">
        <f t="shared" si="42"/>
        <v>114.77604430932433</v>
      </c>
      <c r="O144" s="38">
        <f t="shared" si="38"/>
        <v>11.71786483269714</v>
      </c>
      <c r="P144" s="38">
        <f t="shared" si="43"/>
        <v>8.7883986245228556</v>
      </c>
      <c r="Q144" s="38">
        <f t="shared" si="43"/>
        <v>4.8336192434875702</v>
      </c>
      <c r="R144" s="38">
        <f t="shared" si="43"/>
        <v>3.8815427258309279</v>
      </c>
      <c r="S144">
        <f t="shared" si="43"/>
        <v>14.647331040871425</v>
      </c>
      <c r="T144" s="34">
        <f t="shared" si="36"/>
        <v>10.40016181102672</v>
      </c>
    </row>
    <row r="145" spans="4:20">
      <c r="D145" s="65">
        <f t="shared" si="39"/>
        <v>1044.9200747199091</v>
      </c>
      <c r="E145" s="162">
        <v>17.000000000000099</v>
      </c>
      <c r="F145" s="9">
        <f t="shared" si="37"/>
        <v>6.726834635468725</v>
      </c>
      <c r="G145" s="36">
        <f t="shared" si="44"/>
        <v>114.35618880296899</v>
      </c>
      <c r="H145" s="36">
        <f t="shared" si="45"/>
        <v>100.41900385436547</v>
      </c>
      <c r="I145" s="9">
        <f t="shared" si="46"/>
        <v>87.812478629716566</v>
      </c>
      <c r="J145" s="37">
        <f t="shared" si="47"/>
        <v>6000.368278120166</v>
      </c>
      <c r="K145" s="38">
        <f t="shared" si="48"/>
        <v>100.41900385436614</v>
      </c>
      <c r="L145" s="2">
        <f t="shared" si="40"/>
        <v>9.1374160476811923</v>
      </c>
      <c r="M145" s="38">
        <f t="shared" si="41"/>
        <v>129.85780796170081</v>
      </c>
      <c r="N145" s="38">
        <f t="shared" si="42"/>
        <v>116.65655639162705</v>
      </c>
      <c r="O145" s="38">
        <f t="shared" si="38"/>
        <v>11.595349704113096</v>
      </c>
      <c r="P145" s="38">
        <f t="shared" si="43"/>
        <v>8.6965122780848212</v>
      </c>
      <c r="Q145" s="38">
        <f t="shared" si="43"/>
        <v>4.7830817529466518</v>
      </c>
      <c r="R145" s="38">
        <f t="shared" si="43"/>
        <v>3.8409595894874631</v>
      </c>
      <c r="S145">
        <f t="shared" si="43"/>
        <v>14.49418713014137</v>
      </c>
      <c r="T145" s="34">
        <f t="shared" si="36"/>
        <v>10.396115772464873</v>
      </c>
    </row>
    <row r="146" spans="4:20">
      <c r="D146" s="65">
        <f t="shared" si="39"/>
        <v>1056.2305513894587</v>
      </c>
      <c r="E146" s="162">
        <v>17.100000000000101</v>
      </c>
      <c r="F146" s="9">
        <f t="shared" si="37"/>
        <v>6.7974827287119375</v>
      </c>
      <c r="G146" s="36">
        <f t="shared" si="44"/>
        <v>116.23695466097482</v>
      </c>
      <c r="H146" s="36">
        <f t="shared" si="45"/>
        <v>102.05384868464006</v>
      </c>
      <c r="I146" s="9">
        <f t="shared" si="46"/>
        <v>87.798109458646564</v>
      </c>
      <c r="J146" s="37">
        <f t="shared" si="47"/>
        <v>6032.7556165926017</v>
      </c>
      <c r="K146" s="38">
        <f t="shared" si="48"/>
        <v>102.05384868464017</v>
      </c>
      <c r="L146" s="2">
        <f t="shared" si="40"/>
        <v>9.0868739160462155</v>
      </c>
      <c r="M146" s="38">
        <f t="shared" si="41"/>
        <v>131.97192339671145</v>
      </c>
      <c r="N146" s="38">
        <f t="shared" si="42"/>
        <v>118.55575236862563</v>
      </c>
      <c r="O146" s="38">
        <f t="shared" si="38"/>
        <v>11.474836069907941</v>
      </c>
      <c r="P146" s="38">
        <f t="shared" si="43"/>
        <v>8.6061270524309563</v>
      </c>
      <c r="Q146" s="38">
        <f t="shared" si="43"/>
        <v>4.733369878837026</v>
      </c>
      <c r="R146" s="38">
        <f t="shared" si="43"/>
        <v>3.8010394481570056</v>
      </c>
      <c r="S146">
        <f t="shared" si="43"/>
        <v>14.343545087384927</v>
      </c>
      <c r="T146" s="34">
        <f t="shared" si="36"/>
        <v>10.392068143316317</v>
      </c>
    </row>
    <row r="147" spans="4:20">
      <c r="D147" s="65">
        <f t="shared" si="39"/>
        <v>1067.5915202748961</v>
      </c>
      <c r="E147" s="162">
        <v>17.200000000000099</v>
      </c>
      <c r="F147" s="9">
        <f t="shared" si="37"/>
        <v>6.8684462090851737</v>
      </c>
      <c r="G147" s="36">
        <f t="shared" si="44"/>
        <v>118.13727479626567</v>
      </c>
      <c r="H147" s="36">
        <f t="shared" si="45"/>
        <v>103.70482741579858</v>
      </c>
      <c r="I147" s="9">
        <f t="shared" si="46"/>
        <v>87.783324606601383</v>
      </c>
      <c r="J147" s="37">
        <f t="shared" si="47"/>
        <v>6065.1134348296664</v>
      </c>
      <c r="K147" s="38">
        <f t="shared" si="48"/>
        <v>103.70482741579823</v>
      </c>
      <c r="L147" s="2">
        <f t="shared" si="40"/>
        <v>9.0368727576966474</v>
      </c>
      <c r="M147" s="38">
        <f t="shared" si="41"/>
        <v>134.10690254199852</v>
      </c>
      <c r="N147" s="38">
        <f t="shared" si="42"/>
        <v>120.47369106608608</v>
      </c>
      <c r="O147" s="38">
        <f t="shared" si="38"/>
        <v>11.35628024527967</v>
      </c>
      <c r="P147" s="38">
        <f t="shared" si="43"/>
        <v>8.5172101839597527</v>
      </c>
      <c r="Q147" s="38">
        <f t="shared" si="43"/>
        <v>4.6844656011778643</v>
      </c>
      <c r="R147" s="38">
        <f t="shared" si="43"/>
        <v>3.7617678312488909</v>
      </c>
      <c r="S147">
        <f t="shared" si="43"/>
        <v>14.195350306599588</v>
      </c>
      <c r="T147" s="34">
        <f t="shared" si="36"/>
        <v>10.388018921703694</v>
      </c>
    </row>
    <row r="148" spans="4:20">
      <c r="D148" s="65">
        <f t="shared" si="39"/>
        <v>1079.0028435602844</v>
      </c>
      <c r="E148" s="162">
        <v>17.3000000000001</v>
      </c>
      <c r="F148" s="9">
        <f t="shared" si="37"/>
        <v>6.9397242157552537</v>
      </c>
      <c r="G148" s="36">
        <f t="shared" si="44"/>
        <v>120.05722893256659</v>
      </c>
      <c r="H148" s="36">
        <f t="shared" si="45"/>
        <v>105.37199036914525</v>
      </c>
      <c r="I148" s="9">
        <f t="shared" si="46"/>
        <v>87.768134668783915</v>
      </c>
      <c r="J148" s="37">
        <f t="shared" si="47"/>
        <v>6097.4418134053476</v>
      </c>
      <c r="K148" s="38">
        <f t="shared" si="48"/>
        <v>105.37199036914517</v>
      </c>
      <c r="L148" s="2">
        <f t="shared" si="40"/>
        <v>8.987404200094737</v>
      </c>
      <c r="M148" s="38">
        <f t="shared" si="41"/>
        <v>136.26281047104513</v>
      </c>
      <c r="N148" s="38">
        <f t="shared" si="42"/>
        <v>122.41043094216775</v>
      </c>
      <c r="O148" s="38">
        <f t="shared" si="38"/>
        <v>11.239639728465956</v>
      </c>
      <c r="P148" s="38">
        <f t="shared" si="43"/>
        <v>8.4297297963494664</v>
      </c>
      <c r="Q148" s="38">
        <f t="shared" si="43"/>
        <v>4.6363513879922067</v>
      </c>
      <c r="R148" s="38">
        <f t="shared" si="43"/>
        <v>3.7231306600543479</v>
      </c>
      <c r="S148">
        <f t="shared" si="43"/>
        <v>14.049549660582445</v>
      </c>
      <c r="T148" s="34">
        <f t="shared" si="36"/>
        <v>10.383968105745948</v>
      </c>
    </row>
    <row r="149" spans="4:20">
      <c r="D149" s="65">
        <f t="shared" si="39"/>
        <v>1090.464384055482</v>
      </c>
      <c r="E149" s="162">
        <v>17.400000000000102</v>
      </c>
      <c r="F149" s="9">
        <f t="shared" si="37"/>
        <v>7.0113158917979819</v>
      </c>
      <c r="G149" s="36">
        <f t="shared" si="44"/>
        <v>121.99689651728559</v>
      </c>
      <c r="H149" s="36">
        <f t="shared" si="45"/>
        <v>107.05538755179293</v>
      </c>
      <c r="I149" s="9">
        <f t="shared" si="46"/>
        <v>87.752549948370515</v>
      </c>
      <c r="J149" s="37">
        <f t="shared" si="47"/>
        <v>6129.7408325277484</v>
      </c>
      <c r="K149" s="38">
        <f t="shared" si="48"/>
        <v>107.05538755179269</v>
      </c>
      <c r="L149" s="2">
        <f t="shared" si="40"/>
        <v>8.938460036161457</v>
      </c>
      <c r="M149" s="38">
        <f t="shared" si="41"/>
        <v>138.43971185103237</v>
      </c>
      <c r="N149" s="38">
        <f t="shared" si="42"/>
        <v>124.36603009003247</v>
      </c>
      <c r="O149" s="38">
        <f t="shared" si="38"/>
        <v>11.124873162717774</v>
      </c>
      <c r="P149" s="38">
        <f t="shared" si="43"/>
        <v>8.3436548720383303</v>
      </c>
      <c r="Q149" s="38">
        <f t="shared" si="43"/>
        <v>4.5890101796210816</v>
      </c>
      <c r="R149" s="38">
        <f t="shared" si="43"/>
        <v>3.6851142351502624</v>
      </c>
      <c r="S149">
        <f t="shared" si="43"/>
        <v>13.906091453397217</v>
      </c>
      <c r="T149" s="34">
        <f t="shared" si="36"/>
        <v>10.379915693558317</v>
      </c>
    </row>
    <row r="150" spans="4:20">
      <c r="D150" s="65">
        <f t="shared" si="39"/>
        <v>1101.9760051921755</v>
      </c>
      <c r="E150" s="162">
        <v>17.500000000000099</v>
      </c>
      <c r="F150" s="9">
        <f t="shared" si="37"/>
        <v>7.0832203841731127</v>
      </c>
      <c r="G150" s="36">
        <f t="shared" si="44"/>
        <v>123.95635672303018</v>
      </c>
      <c r="H150" s="36">
        <f t="shared" si="45"/>
        <v>108.75506865888674</v>
      </c>
      <c r="I150" s="9">
        <f t="shared" si="46"/>
        <v>87.736580465889773</v>
      </c>
      <c r="J150" s="37">
        <f t="shared" si="47"/>
        <v>6162.0105720414358</v>
      </c>
      <c r="K150" s="38">
        <f t="shared" si="48"/>
        <v>108.75506865888725</v>
      </c>
      <c r="L150" s="2">
        <f t="shared" si="40"/>
        <v>8.8900322204083988</v>
      </c>
      <c r="M150" s="38">
        <f t="shared" si="41"/>
        <v>140.63767094572037</v>
      </c>
      <c r="N150" s="38">
        <f t="shared" si="42"/>
        <v>126.34054624043284</v>
      </c>
      <c r="O150" s="38">
        <f t="shared" si="38"/>
        <v>11.011940299681306</v>
      </c>
      <c r="P150" s="38">
        <f t="shared" si="43"/>
        <v>8.2589552247609799</v>
      </c>
      <c r="Q150" s="38">
        <f t="shared" si="43"/>
        <v>4.5424253736185385</v>
      </c>
      <c r="R150" s="38">
        <f t="shared" si="43"/>
        <v>3.6477052242694326</v>
      </c>
      <c r="S150">
        <f t="shared" si="43"/>
        <v>13.764925374601633</v>
      </c>
      <c r="T150" s="34">
        <f t="shared" si="36"/>
        <v>10.375861683252323</v>
      </c>
    </row>
    <row r="151" spans="4:20">
      <c r="D151" s="65">
        <f t="shared" si="39"/>
        <v>1113.5375710199366</v>
      </c>
      <c r="E151" s="162">
        <v>17.600000000000101</v>
      </c>
      <c r="F151" s="9">
        <f t="shared" si="37"/>
        <v>7.1554368437000972</v>
      </c>
      <c r="G151" s="36">
        <f t="shared" si="44"/>
        <v>125.93568844912244</v>
      </c>
      <c r="H151" s="36">
        <f t="shared" si="45"/>
        <v>110.47108307581662</v>
      </c>
      <c r="I151" s="9">
        <f t="shared" si="46"/>
        <v>87.720235968254968</v>
      </c>
      <c r="J151" s="37">
        <f t="shared" si="47"/>
        <v>6194.2511114297104</v>
      </c>
      <c r="K151" s="38">
        <f t="shared" si="48"/>
        <v>110.47108307581621</v>
      </c>
      <c r="L151" s="2">
        <f t="shared" si="40"/>
        <v>8.8421128651692875</v>
      </c>
      <c r="M151" s="38">
        <f t="shared" si="41"/>
        <v>142.85675161830144</v>
      </c>
      <c r="N151" s="38">
        <f t="shared" si="42"/>
        <v>128.33403676427466</v>
      </c>
      <c r="O151" s="38">
        <f t="shared" si="38"/>
        <v>10.900801964128016</v>
      </c>
      <c r="P151" s="38">
        <f t="shared" si="43"/>
        <v>8.1756014730960125</v>
      </c>
      <c r="Q151" s="38">
        <f t="shared" si="43"/>
        <v>4.4965808102028069</v>
      </c>
      <c r="R151" s="38">
        <f t="shared" si="43"/>
        <v>3.6108906506174057</v>
      </c>
      <c r="S151">
        <f t="shared" si="43"/>
        <v>13.626002455160021</v>
      </c>
      <c r="T151" s="34">
        <f t="shared" si="36"/>
        <v>10.371806072935758</v>
      </c>
    </row>
    <row r="152" spans="4:20">
      <c r="D152" s="65">
        <f t="shared" si="39"/>
        <v>1125.1489462023221</v>
      </c>
      <c r="E152" s="162">
        <v>17.700000000000099</v>
      </c>
      <c r="F152" s="9">
        <f t="shared" si="37"/>
        <v>7.2279644250331962</v>
      </c>
      <c r="G152" s="36">
        <f t="shared" si="44"/>
        <v>127.93497032308829</v>
      </c>
      <c r="H152" s="36">
        <f t="shared" si="45"/>
        <v>112.20347988039894</v>
      </c>
      <c r="I152" s="9">
        <f t="shared" si="46"/>
        <v>87.703525937465827</v>
      </c>
      <c r="J152" s="37">
        <f t="shared" si="47"/>
        <v>6226.4625298169312</v>
      </c>
      <c r="K152" s="38">
        <f t="shared" si="48"/>
        <v>112.20347988039825</v>
      </c>
      <c r="L152" s="2">
        <f t="shared" si="40"/>
        <v>8.7946942369303667</v>
      </c>
      <c r="M152" s="38">
        <f t="shared" si="41"/>
        <v>145.09701733423245</v>
      </c>
      <c r="N152" s="38">
        <f t="shared" si="42"/>
        <v>130.34655867516213</v>
      </c>
      <c r="O152" s="38">
        <f t="shared" si="38"/>
        <v>10.791420019979105</v>
      </c>
      <c r="P152" s="38">
        <f t="shared" si="43"/>
        <v>8.0935650149843283</v>
      </c>
      <c r="Q152" s="38">
        <f t="shared" si="43"/>
        <v>4.4514607582413808</v>
      </c>
      <c r="R152" s="38">
        <f t="shared" si="43"/>
        <v>3.5746578816180787</v>
      </c>
      <c r="S152">
        <f t="shared" si="43"/>
        <v>13.489275024973882</v>
      </c>
      <c r="T152" s="34">
        <f t="shared" si="36"/>
        <v>10.367748860712682</v>
      </c>
    </row>
    <row r="153" spans="4:20">
      <c r="D153" s="65">
        <f t="shared" si="39"/>
        <v>1136.8099960129946</v>
      </c>
      <c r="E153" s="162">
        <v>17.8000000000001</v>
      </c>
      <c r="F153" s="9">
        <f t="shared" si="37"/>
        <v>7.3008022866377127</v>
      </c>
      <c r="G153" s="36">
        <f t="shared" si="44"/>
        <v>129.954280702152</v>
      </c>
      <c r="H153" s="36">
        <f t="shared" si="45"/>
        <v>113.95230784505273</v>
      </c>
      <c r="I153" s="9">
        <f t="shared" si="46"/>
        <v>87.686459598991661</v>
      </c>
      <c r="J153" s="37">
        <f t="shared" si="47"/>
        <v>6258.6449059707493</v>
      </c>
      <c r="K153" s="38">
        <f t="shared" si="48"/>
        <v>113.95230784505192</v>
      </c>
      <c r="L153" s="2">
        <f t="shared" si="40"/>
        <v>8.7477687527546699</v>
      </c>
      <c r="M153" s="38">
        <f t="shared" si="41"/>
        <v>147.35853116403902</v>
      </c>
      <c r="N153" s="38">
        <f t="shared" si="42"/>
        <v>132.37816863191634</v>
      </c>
      <c r="O153" s="38">
        <f t="shared" si="38"/>
        <v>10.683757337568151</v>
      </c>
      <c r="P153" s="38">
        <f t="shared" si="43"/>
        <v>8.0128180031761147</v>
      </c>
      <c r="Q153" s="38">
        <f t="shared" si="43"/>
        <v>4.4070499017468627</v>
      </c>
      <c r="R153" s="38">
        <f t="shared" si="43"/>
        <v>3.5389946180694505</v>
      </c>
      <c r="S153">
        <f t="shared" si="43"/>
        <v>13.354696671960189</v>
      </c>
      <c r="T153" s="34">
        <f t="shared" si="36"/>
        <v>10.363690044683407</v>
      </c>
    </row>
    <row r="154" spans="4:20">
      <c r="D154" s="65">
        <f t="shared" si="39"/>
        <v>1148.5205863318758</v>
      </c>
      <c r="E154" s="162">
        <v>17.900000000000102</v>
      </c>
      <c r="F154" s="9">
        <f t="shared" si="37"/>
        <v>7.3739495907657329</v>
      </c>
      <c r="G154" s="36">
        <f t="shared" si="44"/>
        <v>131.99369767470736</v>
      </c>
      <c r="H154" s="36">
        <f t="shared" si="45"/>
        <v>115.71761543894711</v>
      </c>
      <c r="I154" s="9">
        <f t="shared" si="46"/>
        <v>87.669045929850427</v>
      </c>
      <c r="J154" s="37">
        <f t="shared" si="47"/>
        <v>6290.7983183043661</v>
      </c>
      <c r="K154" s="38">
        <f t="shared" si="48"/>
        <v>115.71761543894705</v>
      </c>
      <c r="L154" s="2">
        <f t="shared" si="40"/>
        <v>8.7013289767997417</v>
      </c>
      <c r="M154" s="38">
        <f t="shared" si="41"/>
        <v>149.64135578609782</v>
      </c>
      <c r="N154" s="38">
        <f t="shared" si="42"/>
        <v>134.4289229410754</v>
      </c>
      <c r="O154" s="38">
        <f t="shared" si="38"/>
        <v>10.577777762093469</v>
      </c>
      <c r="P154" s="38">
        <f t="shared" si="43"/>
        <v>7.9333333215701014</v>
      </c>
      <c r="Q154" s="38">
        <f t="shared" si="43"/>
        <v>4.3633333268635557</v>
      </c>
      <c r="R154" s="38">
        <f t="shared" si="43"/>
        <v>3.5038888836934614</v>
      </c>
      <c r="S154">
        <f t="shared" si="43"/>
        <v>13.222222202616836</v>
      </c>
      <c r="T154" s="34">
        <f t="shared" si="36"/>
        <v>10.359629622944482</v>
      </c>
    </row>
    <row r="155" spans="4:20">
      <c r="D155" s="65">
        <f t="shared" si="39"/>
        <v>1160.2805836413374</v>
      </c>
      <c r="E155" s="162">
        <v>18.000000000000099</v>
      </c>
      <c r="F155" s="9">
        <f t="shared" si="37"/>
        <v>7.4474055034325684</v>
      </c>
      <c r="G155" s="36">
        <f t="shared" si="44"/>
        <v>134.05329906178696</v>
      </c>
      <c r="H155" s="36">
        <f t="shared" si="45"/>
        <v>117.49945083013787</v>
      </c>
      <c r="I155" s="9">
        <f t="shared" si="46"/>
        <v>87.65129366639519</v>
      </c>
      <c r="J155" s="37">
        <f t="shared" si="47"/>
        <v>6322.9228448787508</v>
      </c>
      <c r="K155" s="38">
        <f t="shared" si="48"/>
        <v>117.49945083013725</v>
      </c>
      <c r="L155" s="2">
        <f t="shared" si="40"/>
        <v>8.655367616924881</v>
      </c>
      <c r="M155" s="38">
        <f t="shared" si="41"/>
        <v>151.94555348939423</v>
      </c>
      <c r="N155" s="38">
        <f t="shared" si="42"/>
        <v>136.49887755937084</v>
      </c>
      <c r="O155" s="38">
        <f t="shared" si="38"/>
        <v>10.473446083209673</v>
      </c>
      <c r="P155" s="38">
        <f t="shared" si="43"/>
        <v>7.8550845624072547</v>
      </c>
      <c r="Q155" s="38">
        <f t="shared" si="43"/>
        <v>4.32029650932399</v>
      </c>
      <c r="R155" s="38">
        <f t="shared" si="43"/>
        <v>3.4693290150632046</v>
      </c>
      <c r="S155">
        <f t="shared" si="43"/>
        <v>13.091807604012091</v>
      </c>
      <c r="T155" s="34">
        <f t="shared" si="36"/>
        <v>10.355567593588693</v>
      </c>
    </row>
    <row r="156" spans="4:20">
      <c r="D156" s="65">
        <f t="shared" si="39"/>
        <v>1172.0898550224229</v>
      </c>
      <c r="E156" s="162">
        <v>18.100000000000101</v>
      </c>
      <c r="F156" s="9">
        <f t="shared" si="37"/>
        <v>7.5211691943927113</v>
      </c>
      <c r="G156" s="36">
        <f t="shared" si="44"/>
        <v>136.13316241850885</v>
      </c>
      <c r="H156" s="36">
        <f t="shared" si="45"/>
        <v>119.29786188767601</v>
      </c>
      <c r="I156" s="9">
        <f t="shared" si="46"/>
        <v>87.633211311820745</v>
      </c>
      <c r="J156" s="37">
        <f t="shared" si="47"/>
        <v>6355.0185634048812</v>
      </c>
      <c r="K156" s="38">
        <f t="shared" si="48"/>
        <v>119.29786188767582</v>
      </c>
      <c r="L156" s="2">
        <f t="shared" si="40"/>
        <v>8.6098775213868386</v>
      </c>
      <c r="M156" s="38">
        <f t="shared" si="41"/>
        <v>154.27118617625828</v>
      </c>
      <c r="N156" s="38">
        <f t="shared" si="42"/>
        <v>138.58808809618648</v>
      </c>
      <c r="O156" s="38">
        <f t="shared" si="38"/>
        <v>10.370728005713747</v>
      </c>
      <c r="P156" s="38">
        <f t="shared" si="43"/>
        <v>7.7780460042853106</v>
      </c>
      <c r="Q156" s="38">
        <f t="shared" si="43"/>
        <v>4.2779253023569206</v>
      </c>
      <c r="R156" s="38">
        <f t="shared" si="43"/>
        <v>3.4353036518926787</v>
      </c>
      <c r="S156">
        <f t="shared" si="43"/>
        <v>12.963410007142185</v>
      </c>
      <c r="T156" s="34">
        <f t="shared" si="36"/>
        <v>10.351503954705048</v>
      </c>
    </row>
    <row r="157" spans="4:20">
      <c r="D157" s="65">
        <f t="shared" si="39"/>
        <v>1183.948268151089</v>
      </c>
      <c r="E157" s="162">
        <v>18.200000000000099</v>
      </c>
      <c r="F157" s="9">
        <f t="shared" si="37"/>
        <v>7.595239837116833</v>
      </c>
      <c r="G157" s="36">
        <f t="shared" si="44"/>
        <v>138.2333650355271</v>
      </c>
      <c r="H157" s="36">
        <f t="shared" si="45"/>
        <v>121.11289618371032</v>
      </c>
      <c r="I157" s="9">
        <f t="shared" si="46"/>
        <v>87.61480714340081</v>
      </c>
      <c r="J157" s="37">
        <f t="shared" si="47"/>
        <v>6387.0855512459029</v>
      </c>
      <c r="K157" s="38">
        <f t="shared" si="48"/>
        <v>121.11289618371069</v>
      </c>
      <c r="L157" s="2">
        <f t="shared" si="40"/>
        <v>8.564851675619737</v>
      </c>
      <c r="M157" s="38">
        <f t="shared" si="41"/>
        <v>156.61831536507415</v>
      </c>
      <c r="N157" s="38">
        <f t="shared" si="42"/>
        <v>140.69660981599162</v>
      </c>
      <c r="O157" s="38">
        <f t="shared" si="38"/>
        <v>10.269590121279034</v>
      </c>
      <c r="P157" s="38">
        <f t="shared" si="43"/>
        <v>7.7021925909592746</v>
      </c>
      <c r="Q157" s="38">
        <f t="shared" si="43"/>
        <v>4.2362059250276012</v>
      </c>
      <c r="R157" s="38">
        <f t="shared" si="43"/>
        <v>3.4018017276736798</v>
      </c>
      <c r="S157">
        <f t="shared" si="43"/>
        <v>12.836987651598792</v>
      </c>
      <c r="T157" s="34">
        <f t="shared" si="36"/>
        <v>10.347438704378764</v>
      </c>
    </row>
    <row r="158" spans="4:20">
      <c r="D158" s="65">
        <f t="shared" si="39"/>
        <v>1195.8556912944866</v>
      </c>
      <c r="E158" s="162">
        <v>18.3000000000001</v>
      </c>
      <c r="F158" s="9">
        <f t="shared" si="37"/>
        <v>7.6696166087683659</v>
      </c>
      <c r="G158" s="36">
        <f t="shared" si="44"/>
        <v>140.35398394046186</v>
      </c>
      <c r="H158" s="36">
        <f t="shared" si="45"/>
        <v>122.94460099556377</v>
      </c>
      <c r="I158" s="9">
        <f t="shared" si="46"/>
        <v>87.596089219467302</v>
      </c>
      <c r="J158" s="37">
        <f t="shared" si="47"/>
        <v>6419.1238854193198</v>
      </c>
      <c r="K158" s="38">
        <f t="shared" si="48"/>
        <v>122.94460099556362</v>
      </c>
      <c r="L158" s="2">
        <f t="shared" si="40"/>
        <v>8.5202831990987047</v>
      </c>
      <c r="M158" s="38">
        <f t="shared" si="41"/>
        <v>158.98700219296859</v>
      </c>
      <c r="N158" s="38">
        <f t="shared" si="42"/>
        <v>142.82449764075662</v>
      </c>
      <c r="O158" s="38">
        <f t="shared" si="38"/>
        <v>10.169999881196894</v>
      </c>
      <c r="P158" s="38">
        <f t="shared" si="43"/>
        <v>7.6274999108976695</v>
      </c>
      <c r="Q158" s="38">
        <f t="shared" si="43"/>
        <v>4.1951249509937183</v>
      </c>
      <c r="R158" s="38">
        <f t="shared" si="43"/>
        <v>3.3688124606464709</v>
      </c>
      <c r="S158">
        <f t="shared" si="43"/>
        <v>12.712499851496116</v>
      </c>
      <c r="T158" s="34">
        <f t="shared" ref="T158:T189" si="49">($B$69*$B$63+SQRT($B$69^2*$B$63^2+4*$B$69*($Y$58-(E158*$B$63))))/(2*$B$69)</f>
        <v>10.343371840691255</v>
      </c>
    </row>
    <row r="159" spans="4:20">
      <c r="D159" s="65">
        <f t="shared" si="39"/>
        <v>1207.8119933072774</v>
      </c>
      <c r="E159" s="162">
        <v>18.400000000000102</v>
      </c>
      <c r="F159" s="9">
        <f t="shared" ref="F159:F189" si="50">(0.5+(0.00000036*$B$65*$B$68^3*($B$62*0.0254)*($B$61*0.0254)^4)*($B$69+$B$70)*$E159-(0.25-(0.00000036*$B$65*$B$68^3*($B$62*0.0254)*($B$61*0.0254)^4)*(($B$69+$B$70)^2*$B$63-($B$69+$B$70)*$E159))^(1/2))/((0.00000036*$B$65*$B$68^3*($B$62*0.0254)*($B$61*0.0254)^4)*($B$69+$B$70)^2)</f>
        <v>7.7442986901802939</v>
      </c>
      <c r="G159" s="36">
        <f t="shared" si="44"/>
        <v>142.49509589931819</v>
      </c>
      <c r="H159" s="36">
        <f t="shared" si="45"/>
        <v>124.79302330779205</v>
      </c>
      <c r="I159" s="9">
        <f t="shared" si="46"/>
        <v>87.577065386142294</v>
      </c>
      <c r="J159" s="37">
        <f t="shared" si="47"/>
        <v>6451.133642599164</v>
      </c>
      <c r="K159" s="38">
        <f t="shared" si="48"/>
        <v>124.79302330779215</v>
      </c>
      <c r="L159" s="2">
        <f t="shared" si="40"/>
        <v>8.4761653422842915</v>
      </c>
      <c r="M159" s="38">
        <f t="shared" si="41"/>
        <v>161.37730741847761</v>
      </c>
      <c r="N159" s="38">
        <f t="shared" si="42"/>
        <v>144.97180615234825</v>
      </c>
      <c r="O159" s="38">
        <f t="shared" ref="O159:O189" si="51">0.65*60*O$58/(F159*1000)</f>
        <v>10.071925570084654</v>
      </c>
      <c r="P159" s="38">
        <f t="shared" si="43"/>
        <v>7.5539441775634906</v>
      </c>
      <c r="Q159" s="38">
        <f t="shared" si="43"/>
        <v>4.15466929765992</v>
      </c>
      <c r="R159" s="38">
        <f t="shared" si="43"/>
        <v>3.3363253450905415</v>
      </c>
      <c r="S159">
        <f t="shared" si="43"/>
        <v>12.589906962605818</v>
      </c>
      <c r="T159" s="34">
        <f t="shared" si="49"/>
        <v>10.339303361720136</v>
      </c>
    </row>
    <row r="160" spans="4:20">
      <c r="D160" s="65">
        <f t="shared" si="39"/>
        <v>1219.8170436279615</v>
      </c>
      <c r="E160" s="162">
        <v>18.500000000000099</v>
      </c>
      <c r="F160" s="9">
        <f t="shared" si="50"/>
        <v>7.8192852658325069</v>
      </c>
      <c r="G160" s="36">
        <f t="shared" si="44"/>
        <v>144.65677741790216</v>
      </c>
      <c r="H160" s="36">
        <f t="shared" si="45"/>
        <v>126.65820981423042</v>
      </c>
      <c r="I160" s="9">
        <f t="shared" si="46"/>
        <v>87.55774328383157</v>
      </c>
      <c r="J160" s="37">
        <f t="shared" si="47"/>
        <v>6483.1148991181162</v>
      </c>
      <c r="K160" s="38">
        <f t="shared" si="48"/>
        <v>126.65820981423185</v>
      </c>
      <c r="L160" s="2">
        <f t="shared" si="40"/>
        <v>8.4324914836448013</v>
      </c>
      <c r="M160" s="38">
        <f t="shared" si="41"/>
        <v>163.78929142418701</v>
      </c>
      <c r="N160" s="38">
        <f t="shared" si="42"/>
        <v>147.13858959490199</v>
      </c>
      <c r="O160" s="38">
        <f t="shared" si="51"/>
        <v>9.9753362805207058</v>
      </c>
      <c r="P160" s="38">
        <f t="shared" si="43"/>
        <v>7.4815022103905289</v>
      </c>
      <c r="Q160" s="38">
        <f t="shared" si="43"/>
        <v>4.1148262157147908</v>
      </c>
      <c r="R160" s="38">
        <f t="shared" si="43"/>
        <v>3.3043301429224838</v>
      </c>
      <c r="S160">
        <f t="shared" si="43"/>
        <v>12.469170350650883</v>
      </c>
      <c r="T160" s="34">
        <f t="shared" si="49"/>
        <v>10.335233265539184</v>
      </c>
    </row>
    <row r="161" spans="4:20">
      <c r="D161" s="65">
        <f t="shared" si="39"/>
        <v>1231.8707122752412</v>
      </c>
      <c r="E161" s="162">
        <v>18.600000000000101</v>
      </c>
      <c r="F161" s="9">
        <f t="shared" si="50"/>
        <v>7.8945755238292863</v>
      </c>
      <c r="G161" s="36">
        <f t="shared" si="44"/>
        <v>146.83910474322553</v>
      </c>
      <c r="H161" s="36">
        <f t="shared" si="45"/>
        <v>128.54020692002265</v>
      </c>
      <c r="I161" s="9">
        <f t="shared" si="46"/>
        <v>87.538130353490118</v>
      </c>
      <c r="J161" s="37">
        <f t="shared" si="47"/>
        <v>6515.0677309696184</v>
      </c>
      <c r="K161" s="38">
        <f t="shared" si="48"/>
        <v>128.54020692002175</v>
      </c>
      <c r="L161" s="2">
        <f t="shared" si="40"/>
        <v>8.389255126755149</v>
      </c>
      <c r="M161" s="38">
        <f t="shared" si="41"/>
        <v>166.22301421935205</v>
      </c>
      <c r="N161" s="38">
        <f t="shared" si="42"/>
        <v>149.32490187717542</v>
      </c>
      <c r="O161" s="38">
        <f t="shared" si="51"/>
        <v>9.8802018885704292</v>
      </c>
      <c r="P161" s="38">
        <f t="shared" si="43"/>
        <v>7.4101514164278219</v>
      </c>
      <c r="Q161" s="38">
        <f t="shared" si="43"/>
        <v>4.0755832790353024</v>
      </c>
      <c r="R161" s="38">
        <f t="shared" si="43"/>
        <v>3.2728168755889548</v>
      </c>
      <c r="S161">
        <f t="shared" si="43"/>
        <v>12.350252360713037</v>
      </c>
      <c r="T161" s="34">
        <f t="shared" si="49"/>
        <v>10.331161550218361</v>
      </c>
    </row>
    <row r="162" spans="4:20">
      <c r="D162" s="65">
        <f t="shared" si="39"/>
        <v>1243.9728698444449</v>
      </c>
      <c r="E162" s="162">
        <v>18.700000000000099</v>
      </c>
      <c r="F162" s="9">
        <f t="shared" si="50"/>
        <v>7.9701686558759599</v>
      </c>
      <c r="G162" s="36">
        <f t="shared" si="44"/>
        <v>149.04215386488124</v>
      </c>
      <c r="H162" s="36">
        <f t="shared" si="45"/>
        <v>130.43906074361743</v>
      </c>
      <c r="I162" s="9">
        <f t="shared" si="46"/>
        <v>87.51823384266909</v>
      </c>
      <c r="J162" s="37">
        <f t="shared" si="47"/>
        <v>6546.9922138100483</v>
      </c>
      <c r="K162" s="38">
        <f t="shared" si="48"/>
        <v>130.43906074361746</v>
      </c>
      <c r="L162" s="2">
        <f t="shared" si="40"/>
        <v>8.3464498974713344</v>
      </c>
      <c r="M162" s="38">
        <f t="shared" si="41"/>
        <v>168.67853544250062</v>
      </c>
      <c r="N162" s="38">
        <f t="shared" si="42"/>
        <v>151.53079657488621</v>
      </c>
      <c r="O162" s="38">
        <f t="shared" si="51"/>
        <v>9.7864930301688098</v>
      </c>
      <c r="P162" s="38">
        <f t="shared" ref="P162:S181" si="52">0.65*60*P$58/($F162*1000)</f>
        <v>7.3398697726266073</v>
      </c>
      <c r="Q162" s="38">
        <f t="shared" si="52"/>
        <v>4.0369283749446341</v>
      </c>
      <c r="R162" s="38">
        <f t="shared" si="52"/>
        <v>3.2417758162434183</v>
      </c>
      <c r="S162">
        <f t="shared" si="52"/>
        <v>12.233116287711013</v>
      </c>
      <c r="T162" s="34">
        <f t="shared" si="49"/>
        <v>10.327088213823778</v>
      </c>
    </row>
    <row r="163" spans="4:20">
      <c r="D163" s="65">
        <f t="shared" si="39"/>
        <v>1256.1233875039138</v>
      </c>
      <c r="E163" s="162">
        <v>18.8000000000001</v>
      </c>
      <c r="F163" s="9">
        <f t="shared" si="50"/>
        <v>8.0460638572577867</v>
      </c>
      <c r="G163" s="36">
        <f t="shared" si="44"/>
        <v>151.26600051644721</v>
      </c>
      <c r="H163" s="36">
        <f t="shared" si="45"/>
        <v>132.35481711877873</v>
      </c>
      <c r="I163" s="9">
        <f t="shared" si="46"/>
        <v>87.498060811350484</v>
      </c>
      <c r="J163" s="37">
        <f t="shared" si="47"/>
        <v>6578.8884229607102</v>
      </c>
      <c r="K163" s="38">
        <f t="shared" si="48"/>
        <v>132.35481711877742</v>
      </c>
      <c r="L163" s="2">
        <f t="shared" si="40"/>
        <v>8.3040695411744885</v>
      </c>
      <c r="M163" s="38">
        <f t="shared" si="41"/>
        <v>171.15591436400152</v>
      </c>
      <c r="N163" s="38">
        <f t="shared" si="42"/>
        <v>153.7563269330202</v>
      </c>
      <c r="O163" s="38">
        <f t="shared" si="51"/>
        <v>9.6941810783221296</v>
      </c>
      <c r="P163" s="38">
        <f t="shared" si="52"/>
        <v>7.2706358087415968</v>
      </c>
      <c r="Q163" s="38">
        <f t="shared" si="52"/>
        <v>3.9988496948078782</v>
      </c>
      <c r="R163" s="38">
        <f t="shared" si="52"/>
        <v>3.2111974821942053</v>
      </c>
      <c r="S163">
        <f t="shared" si="52"/>
        <v>12.117726347902662</v>
      </c>
      <c r="T163" s="34">
        <f t="shared" si="49"/>
        <v>10.323013254417697</v>
      </c>
    </row>
    <row r="164" spans="4:20">
      <c r="D164" s="65">
        <f t="shared" si="39"/>
        <v>1268.3221369914929</v>
      </c>
      <c r="E164" s="162">
        <v>18.900000000000102</v>
      </c>
      <c r="F164" s="9">
        <f t="shared" si="50"/>
        <v>8.1222603268166171</v>
      </c>
      <c r="G164" s="36">
        <f t="shared" si="44"/>
        <v>153.51072017683489</v>
      </c>
      <c r="H164" s="36">
        <f t="shared" si="45"/>
        <v>134.28752159654306</v>
      </c>
      <c r="I164" s="9">
        <f t="shared" si="46"/>
        <v>87.477618137581601</v>
      </c>
      <c r="J164" s="37">
        <f t="shared" si="47"/>
        <v>6610.7564334100043</v>
      </c>
      <c r="K164" s="38">
        <f t="shared" si="48"/>
        <v>134.28752159654383</v>
      </c>
      <c r="L164" s="2">
        <f t="shared" si="40"/>
        <v>8.2621079200883418</v>
      </c>
      <c r="M164" s="38">
        <f t="shared" si="41"/>
        <v>173.6552098886265</v>
      </c>
      <c r="N164" s="38">
        <f t="shared" si="42"/>
        <v>156.00154586813224</v>
      </c>
      <c r="O164" s="38">
        <f t="shared" si="51"/>
        <v>9.6032381211020343</v>
      </c>
      <c r="P164" s="38">
        <f t="shared" si="52"/>
        <v>7.2024285908265258</v>
      </c>
      <c r="Q164" s="38">
        <f t="shared" si="52"/>
        <v>3.9613357249545889</v>
      </c>
      <c r="R164" s="38">
        <f t="shared" si="52"/>
        <v>3.1810726276150487</v>
      </c>
      <c r="S164">
        <f t="shared" si="52"/>
        <v>12.004047651377542</v>
      </c>
      <c r="T164" s="34">
        <f t="shared" si="49"/>
        <v>10.318936670058514</v>
      </c>
    </row>
    <row r="165" spans="4:20">
      <c r="D165" s="65">
        <f t="shared" si="39"/>
        <v>1280.5689906109719</v>
      </c>
      <c r="E165" s="162">
        <v>19.000000000000099</v>
      </c>
      <c r="F165" s="9">
        <f t="shared" si="50"/>
        <v>8.1987572669300466</v>
      </c>
      <c r="G165" s="36">
        <f t="shared" si="44"/>
        <v>155.7763880716717</v>
      </c>
      <c r="H165" s="36">
        <f t="shared" si="45"/>
        <v>136.23721944719512</v>
      </c>
      <c r="I165" s="9">
        <f t="shared" si="46"/>
        <v>87.456912522912816</v>
      </c>
      <c r="J165" s="37">
        <f t="shared" si="47"/>
        <v>6642.5963198153859</v>
      </c>
      <c r="K165" s="38">
        <f t="shared" si="48"/>
        <v>136.23721944719537</v>
      </c>
      <c r="L165" s="2">
        <f t="shared" si="40"/>
        <v>8.2205590106620683</v>
      </c>
      <c r="M165" s="38">
        <f t="shared" si="41"/>
        <v>176.17648055807493</v>
      </c>
      <c r="N165" s="38">
        <f t="shared" si="42"/>
        <v>158.26650597061459</v>
      </c>
      <c r="O165" s="38">
        <f t="shared" si="51"/>
        <v>9.5136369403952887</v>
      </c>
      <c r="P165" s="38">
        <f t="shared" si="52"/>
        <v>7.1352277052964661</v>
      </c>
      <c r="Q165" s="38">
        <f t="shared" si="52"/>
        <v>3.9243752379130563</v>
      </c>
      <c r="R165" s="38">
        <f t="shared" si="52"/>
        <v>3.1513922365059392</v>
      </c>
      <c r="S165">
        <f t="shared" si="52"/>
        <v>11.89204617549411</v>
      </c>
      <c r="T165" s="34">
        <f t="shared" si="49"/>
        <v>10.314858458800751</v>
      </c>
    </row>
    <row r="166" spans="4:20">
      <c r="D166" s="65">
        <f t="shared" si="39"/>
        <v>1292.8638212286423</v>
      </c>
      <c r="E166" s="162">
        <v>19.100000000000101</v>
      </c>
      <c r="F166" s="9">
        <f t="shared" si="50"/>
        <v>8.2755538834885733</v>
      </c>
      <c r="G166" s="36">
        <f t="shared" si="44"/>
        <v>158.06307917463258</v>
      </c>
      <c r="H166" s="36">
        <f t="shared" si="45"/>
        <v>138.20395566219455</v>
      </c>
      <c r="I166" s="9">
        <f t="shared" si="46"/>
        <v>87.435950497650936</v>
      </c>
      <c r="J166" s="37">
        <f t="shared" si="47"/>
        <v>6674.4081565055085</v>
      </c>
      <c r="K166" s="38">
        <f t="shared" si="48"/>
        <v>138.20395566219574</v>
      </c>
      <c r="L166" s="2">
        <f t="shared" si="40"/>
        <v>8.1794169010224689</v>
      </c>
      <c r="M166" s="38">
        <f t="shared" si="41"/>
        <v>178.71978455349429</v>
      </c>
      <c r="N166" s="38">
        <f t="shared" si="42"/>
        <v>160.55125950696109</v>
      </c>
      <c r="O166" s="38">
        <f t="shared" si="51"/>
        <v>9.4253509913851197</v>
      </c>
      <c r="P166" s="38">
        <f t="shared" si="52"/>
        <v>7.0690132435388389</v>
      </c>
      <c r="Q166" s="38">
        <f t="shared" si="52"/>
        <v>3.8879572839463616</v>
      </c>
      <c r="R166" s="38">
        <f t="shared" si="52"/>
        <v>3.1221475158963208</v>
      </c>
      <c r="S166">
        <f t="shared" si="52"/>
        <v>11.781688739231399</v>
      </c>
      <c r="T166" s="34">
        <f t="shared" si="49"/>
        <v>10.310778618695046</v>
      </c>
    </row>
    <row r="167" spans="4:20">
      <c r="D167" s="65">
        <f t="shared" si="39"/>
        <v>1305.206502269793</v>
      </c>
      <c r="E167" s="162">
        <v>19.200000000000099</v>
      </c>
      <c r="F167" s="9">
        <f t="shared" si="50"/>
        <v>8.3526493858747521</v>
      </c>
      <c r="G167" s="36">
        <f t="shared" si="44"/>
        <v>160.37086820879605</v>
      </c>
      <c r="H167" s="36">
        <f t="shared" si="45"/>
        <v>140.18777495611312</v>
      </c>
      <c r="I167" s="9">
        <f t="shared" si="46"/>
        <v>87.414738425930693</v>
      </c>
      <c r="J167" s="37">
        <f t="shared" si="47"/>
        <v>6706.1920174821616</v>
      </c>
      <c r="K167" s="38">
        <f t="shared" si="48"/>
        <v>140.18777495611417</v>
      </c>
      <c r="L167" s="2">
        <f t="shared" si="40"/>
        <v>8.1386757884884027</v>
      </c>
      <c r="M167" s="38">
        <f t="shared" si="41"/>
        <v>181.285179697963</v>
      </c>
      <c r="N167" s="38">
        <f t="shared" si="42"/>
        <v>162.85585842199728</v>
      </c>
      <c r="O167" s="38">
        <f t="shared" si="51"/>
        <v>9.3383543827311328</v>
      </c>
      <c r="P167" s="38">
        <f t="shared" si="52"/>
        <v>7.0037657870483496</v>
      </c>
      <c r="Q167" s="38">
        <f t="shared" si="52"/>
        <v>3.8520711828765921</v>
      </c>
      <c r="R167" s="38">
        <f t="shared" si="52"/>
        <v>3.0933298892796879</v>
      </c>
      <c r="S167">
        <f t="shared" si="52"/>
        <v>11.672942978413916</v>
      </c>
      <c r="T167" s="34">
        <f t="shared" si="49"/>
        <v>10.306697147788141</v>
      </c>
    </row>
    <row r="168" spans="4:20">
      <c r="D168" s="65">
        <f t="shared" si="39"/>
        <v>1317.5969077153031</v>
      </c>
      <c r="E168" s="162">
        <v>19.3000000000001</v>
      </c>
      <c r="F168" s="9">
        <f t="shared" si="50"/>
        <v>8.4300429869412508</v>
      </c>
      <c r="G168" s="36">
        <f t="shared" si="44"/>
        <v>162.69982964796699</v>
      </c>
      <c r="H168" s="36">
        <f t="shared" si="45"/>
        <v>142.18872176853759</v>
      </c>
      <c r="I168" s="9">
        <f t="shared" si="46"/>
        <v>87.393282510615279</v>
      </c>
      <c r="J168" s="37">
        <f t="shared" si="47"/>
        <v>6737.9479764223379</v>
      </c>
      <c r="K168" s="38">
        <f t="shared" si="48"/>
        <v>142.18872176853873</v>
      </c>
      <c r="L168" s="2">
        <f t="shared" si="40"/>
        <v>8.098329977149838</v>
      </c>
      <c r="M168" s="38">
        <f t="shared" si="41"/>
        <v>183.87272345896517</v>
      </c>
      <c r="N168" s="38">
        <f t="shared" si="42"/>
        <v>165.18035434110416</v>
      </c>
      <c r="O168" s="38">
        <f t="shared" si="51"/>
        <v>9.2526218574244119</v>
      </c>
      <c r="P168" s="38">
        <f t="shared" si="52"/>
        <v>6.9394663930683089</v>
      </c>
      <c r="Q168" s="38">
        <f t="shared" si="52"/>
        <v>3.81670651618757</v>
      </c>
      <c r="R168" s="38">
        <f t="shared" si="52"/>
        <v>3.0649309902718365</v>
      </c>
      <c r="S168">
        <f t="shared" si="52"/>
        <v>11.565777321780516</v>
      </c>
      <c r="T168" s="34">
        <f t="shared" si="49"/>
        <v>10.302614044122871</v>
      </c>
    </row>
    <row r="169" spans="4:20">
      <c r="D169" s="65">
        <f t="shared" si="39"/>
        <v>1330.0349120982171</v>
      </c>
      <c r="E169" s="162">
        <v>19.400000000000102</v>
      </c>
      <c r="F169" s="9">
        <f t="shared" si="50"/>
        <v>8.5077339029898109</v>
      </c>
      <c r="G169" s="36">
        <f t="shared" si="44"/>
        <v>165.05003771800321</v>
      </c>
      <c r="H169" s="36">
        <f t="shared" si="45"/>
        <v>144.20684026596695</v>
      </c>
      <c r="I169" s="9">
        <f t="shared" si="46"/>
        <v>87.371588798029848</v>
      </c>
      <c r="J169" s="37">
        <f t="shared" si="47"/>
        <v>6769.6761066801928</v>
      </c>
      <c r="K169" s="38">
        <f t="shared" si="48"/>
        <v>144.20684026596808</v>
      </c>
      <c r="L169" s="2">
        <f t="shared" si="40"/>
        <v>8.0583738755070904</v>
      </c>
      <c r="M169" s="38">
        <f t="shared" si="41"/>
        <v>186.48247295083613</v>
      </c>
      <c r="N169" s="38">
        <f t="shared" si="42"/>
        <v>167.52479857241505</v>
      </c>
      <c r="O169" s="38">
        <f t="shared" si="51"/>
        <v>9.1681287742895954</v>
      </c>
      <c r="P169" s="38">
        <f t="shared" si="52"/>
        <v>6.8760965807171965</v>
      </c>
      <c r="Q169" s="38">
        <f t="shared" si="52"/>
        <v>3.7818531193944578</v>
      </c>
      <c r="R169" s="38">
        <f t="shared" si="52"/>
        <v>3.0369426564834283</v>
      </c>
      <c r="S169">
        <f t="shared" si="52"/>
        <v>11.460160967861993</v>
      </c>
      <c r="T169" s="34">
        <f t="shared" si="49"/>
        <v>10.298529305738153</v>
      </c>
    </row>
    <row r="170" spans="4:20">
      <c r="D170" s="65">
        <f t="shared" si="39"/>
        <v>1342.5203905003732</v>
      </c>
      <c r="E170" s="162">
        <v>19.500000000000099</v>
      </c>
      <c r="F170" s="9">
        <f t="shared" si="50"/>
        <v>8.5857213537501291</v>
      </c>
      <c r="G170" s="36">
        <f t="shared" si="44"/>
        <v>167.42156639812836</v>
      </c>
      <c r="H170" s="36">
        <f t="shared" si="45"/>
        <v>146.24217434369055</v>
      </c>
      <c r="I170" s="9">
        <f t="shared" si="46"/>
        <v>87.349663182535735</v>
      </c>
      <c r="J170" s="37">
        <f t="shared" si="47"/>
        <v>6801.3764812890267</v>
      </c>
      <c r="K170" s="38">
        <f t="shared" si="48"/>
        <v>146.24217434369001</v>
      </c>
      <c r="L170" s="2">
        <f t="shared" si="40"/>
        <v>8.0188019941699782</v>
      </c>
      <c r="M170" s="38">
        <f t="shared" si="41"/>
        <v>189.11448493719328</v>
      </c>
      <c r="N170" s="38">
        <f t="shared" si="42"/>
        <v>169.8892421089981</v>
      </c>
      <c r="O170" s="38">
        <f t="shared" si="51"/>
        <v>9.0848510901102841</v>
      </c>
      <c r="P170" s="38">
        <f t="shared" si="52"/>
        <v>6.8136383175827131</v>
      </c>
      <c r="Q170" s="38">
        <f t="shared" si="52"/>
        <v>3.7475010746704922</v>
      </c>
      <c r="R170" s="38">
        <f t="shared" si="52"/>
        <v>3.0093569235990318</v>
      </c>
      <c r="S170">
        <f t="shared" si="52"/>
        <v>11.356063862637855</v>
      </c>
      <c r="T170" s="34">
        <f t="shared" si="49"/>
        <v>10.294442930668971</v>
      </c>
    </row>
    <row r="171" spans="4:20">
      <c r="D171" s="65">
        <f t="shared" si="39"/>
        <v>1355.0532185490486</v>
      </c>
      <c r="E171" s="162">
        <v>19.600000000000101</v>
      </c>
      <c r="F171" s="9">
        <f t="shared" si="50"/>
        <v>8.6640045623586115</v>
      </c>
      <c r="G171" s="36">
        <f t="shared" si="44"/>
        <v>169.81448942222966</v>
      </c>
      <c r="H171" s="36">
        <f t="shared" si="45"/>
        <v>148.29476762764585</v>
      </c>
      <c r="I171" s="9">
        <f t="shared" si="46"/>
        <v>87.327511410951047</v>
      </c>
      <c r="J171" s="37">
        <f t="shared" si="47"/>
        <v>6833.0491729632731</v>
      </c>
      <c r="K171" s="38">
        <f t="shared" si="48"/>
        <v>148.29476762764494</v>
      </c>
      <c r="L171" s="2">
        <f t="shared" si="40"/>
        <v>7.9796089436150588</v>
      </c>
      <c r="M171" s="38">
        <f t="shared" si="41"/>
        <v>191.76881583334372</v>
      </c>
      <c r="N171" s="38">
        <f t="shared" si="42"/>
        <v>172.27373563102137</v>
      </c>
      <c r="O171" s="38">
        <f t="shared" si="51"/>
        <v>9.0027653423541096</v>
      </c>
      <c r="P171" s="38">
        <f t="shared" si="52"/>
        <v>6.7520740067655822</v>
      </c>
      <c r="Q171" s="38">
        <f t="shared" si="52"/>
        <v>3.7136407037210701</v>
      </c>
      <c r="R171" s="38">
        <f t="shared" si="52"/>
        <v>2.982166019654799</v>
      </c>
      <c r="S171">
        <f t="shared" si="52"/>
        <v>11.253456677942637</v>
      </c>
      <c r="T171" s="34">
        <f t="shared" si="49"/>
        <v>10.290354916946381</v>
      </c>
    </row>
    <row r="172" spans="4:20">
      <c r="D172" s="65">
        <f t="shared" ref="D172:D189" si="53">$C$60*0.6*((0.6*3.1416*($B$61*0.0254)^2*K172^2)^(1/3))/9.81*1000</f>
        <v>1367.6332724136219</v>
      </c>
      <c r="E172" s="162">
        <v>19.700000000000099</v>
      </c>
      <c r="F172" s="9">
        <f t="shared" si="50"/>
        <v>8.7425827553379634</v>
      </c>
      <c r="G172" s="36">
        <f t="shared" si="44"/>
        <v>172.22888028015873</v>
      </c>
      <c r="H172" s="36">
        <f t="shared" si="45"/>
        <v>150.36466347627109</v>
      </c>
      <c r="I172" s="9">
        <f t="shared" si="46"/>
        <v>87.305139086823374</v>
      </c>
      <c r="J172" s="37">
        <f t="shared" si="47"/>
        <v>6864.6942541004046</v>
      </c>
      <c r="K172" s="38">
        <f t="shared" si="48"/>
        <v>150.36466347627061</v>
      </c>
      <c r="L172" s="2">
        <f t="shared" ref="L172:L189" si="54">D172/G172</f>
        <v>7.9407894319985148</v>
      </c>
      <c r="M172" s="38">
        <f t="shared" ref="M172:M189" si="55">1.30652287/($B$61*0.0254)*POWER(D172*0.00981,3/2)</f>
        <v>194.44552170867149</v>
      </c>
      <c r="N172" s="38">
        <f t="shared" ref="N172:N189" si="56">POWER(J172/$B$64,3)*100</f>
        <v>174.67832950789531</v>
      </c>
      <c r="O172" s="38">
        <f t="shared" si="51"/>
        <v>8.9218486324736812</v>
      </c>
      <c r="P172" s="38">
        <f t="shared" si="52"/>
        <v>6.6913864743552605</v>
      </c>
      <c r="Q172" s="38">
        <f t="shared" si="52"/>
        <v>3.6802625608953932</v>
      </c>
      <c r="R172" s="38">
        <f t="shared" si="52"/>
        <v>2.955362359506907</v>
      </c>
      <c r="S172">
        <f t="shared" si="52"/>
        <v>11.152310790592102</v>
      </c>
      <c r="T172" s="34">
        <f t="shared" si="49"/>
        <v>10.286265262597471</v>
      </c>
    </row>
    <row r="173" spans="4:20">
      <c r="D173" s="65">
        <f t="shared" si="53"/>
        <v>1380.2604288022819</v>
      </c>
      <c r="E173" s="162">
        <v>19.8000000000001</v>
      </c>
      <c r="F173" s="9">
        <f t="shared" si="50"/>
        <v>8.8214551625764148</v>
      </c>
      <c r="G173" s="36">
        <f t="shared" si="44"/>
        <v>174.6648122190139</v>
      </c>
      <c r="H173" s="36">
        <f t="shared" si="45"/>
        <v>152.4519049823345</v>
      </c>
      <c r="I173" s="9">
        <f t="shared" si="46"/>
        <v>87.282551674560295</v>
      </c>
      <c r="J173" s="37">
        <f t="shared" si="47"/>
        <v>6896.3117967828866</v>
      </c>
      <c r="K173" s="38">
        <f t="shared" si="48"/>
        <v>152.45190498233472</v>
      </c>
      <c r="L173" s="2">
        <f t="shared" si="54"/>
        <v>7.9023382630243812</v>
      </c>
      <c r="M173" s="38">
        <f t="shared" si="55"/>
        <v>197.14465828900703</v>
      </c>
      <c r="N173" s="38">
        <f t="shared" si="56"/>
        <v>177.10307380040234</v>
      </c>
      <c r="O173" s="38">
        <f t="shared" si="51"/>
        <v>8.8420786097629662</v>
      </c>
      <c r="P173" s="38">
        <f t="shared" si="52"/>
        <v>6.6315589573222242</v>
      </c>
      <c r="Q173" s="38">
        <f t="shared" si="52"/>
        <v>3.6473574265272233</v>
      </c>
      <c r="R173" s="38">
        <f t="shared" si="52"/>
        <v>2.9289385394839824</v>
      </c>
      <c r="S173">
        <f t="shared" si="52"/>
        <v>11.052598262203707</v>
      </c>
      <c r="T173" s="34">
        <f t="shared" si="49"/>
        <v>10.282173965645381</v>
      </c>
    </row>
    <row r="174" spans="4:20">
      <c r="D174" s="65">
        <f t="shared" si="53"/>
        <v>1392.9345649587399</v>
      </c>
      <c r="E174" s="162">
        <v>19.900000000000102</v>
      </c>
      <c r="F174" s="9">
        <f t="shared" si="50"/>
        <v>8.9006210173072535</v>
      </c>
      <c r="G174" s="36">
        <f t="shared" si="44"/>
        <v>177.12235824441524</v>
      </c>
      <c r="H174" s="36">
        <f t="shared" si="45"/>
        <v>154.55653497475041</v>
      </c>
      <c r="I174" s="9">
        <f t="shared" si="46"/>
        <v>87.259754503423153</v>
      </c>
      <c r="J174" s="37">
        <f t="shared" si="47"/>
        <v>6927.9018727800812</v>
      </c>
      <c r="K174" s="38">
        <f t="shared" si="48"/>
        <v>154.55653497475072</v>
      </c>
      <c r="L174" s="2">
        <f t="shared" si="54"/>
        <v>7.8642503338657974</v>
      </c>
      <c r="M174" s="38">
        <f t="shared" si="55"/>
        <v>199.86628095897436</v>
      </c>
      <c r="N174" s="38">
        <f t="shared" si="56"/>
        <v>179.54801826280558</v>
      </c>
      <c r="O174" s="38">
        <f t="shared" si="51"/>
        <v>8.7634334557475295</v>
      </c>
      <c r="P174" s="38">
        <f t="shared" si="52"/>
        <v>6.5725750918106467</v>
      </c>
      <c r="Q174" s="38">
        <f t="shared" si="52"/>
        <v>3.6149163004958558</v>
      </c>
      <c r="R174" s="38">
        <f t="shared" si="52"/>
        <v>2.9028873322163693</v>
      </c>
      <c r="S174">
        <f t="shared" si="52"/>
        <v>10.954291819684412</v>
      </c>
      <c r="T174" s="34">
        <f t="shared" si="49"/>
        <v>10.278081024109273</v>
      </c>
    </row>
    <row r="175" spans="4:20">
      <c r="D175" s="65">
        <f t="shared" si="53"/>
        <v>1405.6555586589875</v>
      </c>
      <c r="E175" s="162">
        <v>20.000000000000099</v>
      </c>
      <c r="F175" s="9">
        <f t="shared" si="50"/>
        <v>8.9800795560884765</v>
      </c>
      <c r="G175" s="36">
        <f t="shared" si="44"/>
        <v>179.60159112177041</v>
      </c>
      <c r="H175" s="36">
        <f t="shared" si="45"/>
        <v>156.6785960203799</v>
      </c>
      <c r="I175" s="9">
        <f t="shared" si="46"/>
        <v>87.236752771389064</v>
      </c>
      <c r="J175" s="37">
        <f t="shared" si="47"/>
        <v>6959.4645535501577</v>
      </c>
      <c r="K175" s="38">
        <f t="shared" si="48"/>
        <v>156.67859602037927</v>
      </c>
      <c r="L175" s="2">
        <f t="shared" si="54"/>
        <v>7.8265206331382045</v>
      </c>
      <c r="M175" s="38">
        <f t="shared" si="55"/>
        <v>202.61044476432232</v>
      </c>
      <c r="N175" s="38">
        <f t="shared" si="56"/>
        <v>182.01321234494227</v>
      </c>
      <c r="O175" s="38">
        <f t="shared" si="51"/>
        <v>8.6858918690888611</v>
      </c>
      <c r="P175" s="38">
        <f t="shared" si="52"/>
        <v>6.5144189018166454</v>
      </c>
      <c r="Q175" s="38">
        <f t="shared" si="52"/>
        <v>3.582930395999155</v>
      </c>
      <c r="R175" s="38">
        <f t="shared" si="52"/>
        <v>2.8772016816356851</v>
      </c>
      <c r="S175">
        <f t="shared" si="52"/>
        <v>10.857364836361075</v>
      </c>
      <c r="T175" s="34">
        <f t="shared" si="49"/>
        <v>10.273986436004321</v>
      </c>
    </row>
    <row r="176" spans="4:20">
      <c r="D176" s="65">
        <f t="shared" si="53"/>
        <v>1418.4232882080742</v>
      </c>
      <c r="E176" s="162">
        <v>20.100000000000101</v>
      </c>
      <c r="F176" s="9">
        <f t="shared" si="50"/>
        <v>9.0598300187825807</v>
      </c>
      <c r="G176" s="36">
        <f t="shared" si="44"/>
        <v>182.10258337753078</v>
      </c>
      <c r="H176" s="36">
        <f t="shared" si="45"/>
        <v>158.81813042581618</v>
      </c>
      <c r="I176" s="9">
        <f t="shared" si="46"/>
        <v>87.213551548886144</v>
      </c>
      <c r="J176" s="37">
        <f t="shared" si="47"/>
        <v>6990.9999102419897</v>
      </c>
      <c r="K176" s="38">
        <f t="shared" si="48"/>
        <v>158.81813042581567</v>
      </c>
      <c r="L176" s="2">
        <f t="shared" si="54"/>
        <v>7.7891442389229182</v>
      </c>
      <c r="M176" s="38">
        <f t="shared" si="55"/>
        <v>205.37720441423411</v>
      </c>
      <c r="N176" s="38">
        <f t="shared" si="56"/>
        <v>184.4987051942997</v>
      </c>
      <c r="O176" s="38">
        <f t="shared" si="51"/>
        <v>8.6094330509835864</v>
      </c>
      <c r="P176" s="38">
        <f t="shared" si="52"/>
        <v>6.4570747882376898</v>
      </c>
      <c r="Q176" s="38">
        <f t="shared" si="52"/>
        <v>3.5513911335307293</v>
      </c>
      <c r="R176" s="38">
        <f t="shared" si="52"/>
        <v>2.851874698138313</v>
      </c>
      <c r="S176">
        <f t="shared" si="52"/>
        <v>10.761791313729484</v>
      </c>
      <c r="T176" s="34">
        <f t="shared" si="49"/>
        <v>10.26989019934171</v>
      </c>
    </row>
    <row r="177" spans="4:20">
      <c r="D177" s="65">
        <f t="shared" si="53"/>
        <v>1431.2376324368931</v>
      </c>
      <c r="E177" s="162">
        <v>20.200000000000099</v>
      </c>
      <c r="F177" s="9">
        <f t="shared" si="50"/>
        <v>9.1398716485367917</v>
      </c>
      <c r="G177" s="36">
        <f t="shared" si="44"/>
        <v>184.6254073004441</v>
      </c>
      <c r="H177" s="36">
        <f t="shared" si="45"/>
        <v>160.97518023915944</v>
      </c>
      <c r="I177" s="9">
        <f t="shared" si="46"/>
        <v>87.19015578240635</v>
      </c>
      <c r="J177" s="37">
        <f t="shared" si="47"/>
        <v>7022.5080136969946</v>
      </c>
      <c r="K177" s="38">
        <f t="shared" si="48"/>
        <v>160.97518023915902</v>
      </c>
      <c r="L177" s="2">
        <f t="shared" si="54"/>
        <v>7.7521163168394018</v>
      </c>
      <c r="M177" s="38">
        <f t="shared" si="55"/>
        <v>208.16661428361698</v>
      </c>
      <c r="N177" s="38">
        <f t="shared" si="56"/>
        <v>187.00454565807053</v>
      </c>
      <c r="O177" s="38">
        <f t="shared" si="51"/>
        <v>8.53403669103899</v>
      </c>
      <c r="P177" s="38">
        <f t="shared" si="52"/>
        <v>6.4005275182792429</v>
      </c>
      <c r="Q177" s="38">
        <f t="shared" si="52"/>
        <v>3.5202901350535836</v>
      </c>
      <c r="R177" s="38">
        <f t="shared" si="52"/>
        <v>2.8268996539066658</v>
      </c>
      <c r="S177">
        <f t="shared" si="52"/>
        <v>10.667545863798738</v>
      </c>
      <c r="T177" s="34">
        <f t="shared" si="49"/>
        <v>10.265792312128616</v>
      </c>
    </row>
    <row r="178" spans="4:20">
      <c r="D178" s="65">
        <f t="shared" si="53"/>
        <v>1444.0984706990198</v>
      </c>
      <c r="E178" s="162">
        <v>20.3000000000001</v>
      </c>
      <c r="F178" s="9">
        <f t="shared" si="50"/>
        <v>9.2202036917630625</v>
      </c>
      <c r="G178" s="36">
        <f t="shared" si="44"/>
        <v>187.17013494279109</v>
      </c>
      <c r="H178" s="36">
        <f t="shared" si="45"/>
        <v>163.14978725177141</v>
      </c>
      <c r="I178" s="9">
        <f t="shared" si="46"/>
        <v>87.166570298001048</v>
      </c>
      <c r="J178" s="37">
        <f t="shared" si="47"/>
        <v>7053.9889344510166</v>
      </c>
      <c r="K178" s="38">
        <f t="shared" si="48"/>
        <v>163.1497872517711</v>
      </c>
      <c r="L178" s="2">
        <f t="shared" si="54"/>
        <v>7.7154321181657064</v>
      </c>
      <c r="M178" s="38">
        <f t="shared" si="55"/>
        <v>210.97872841537531</v>
      </c>
      <c r="N178" s="38">
        <f t="shared" si="56"/>
        <v>189.53078228519661</v>
      </c>
      <c r="O178" s="38">
        <f t="shared" si="51"/>
        <v>8.4596829536078335</v>
      </c>
      <c r="P178" s="38">
        <f t="shared" si="52"/>
        <v>6.3447622152058756</v>
      </c>
      <c r="Q178" s="38">
        <f t="shared" si="52"/>
        <v>3.4896192183632313</v>
      </c>
      <c r="R178" s="38">
        <f t="shared" si="52"/>
        <v>2.8022699783825948</v>
      </c>
      <c r="S178">
        <f t="shared" si="52"/>
        <v>10.574603692009791</v>
      </c>
      <c r="T178" s="34">
        <f t="shared" si="49"/>
        <v>10.261692772368191</v>
      </c>
    </row>
    <row r="179" spans="4:20">
      <c r="D179" s="65">
        <f t="shared" si="53"/>
        <v>1457.0056828675481</v>
      </c>
      <c r="E179" s="162">
        <v>20.400000000000102</v>
      </c>
      <c r="F179" s="9">
        <f t="shared" si="50"/>
        <v>9.3008253981184303</v>
      </c>
      <c r="G179" s="36">
        <f t="shared" si="44"/>
        <v>189.73683812161693</v>
      </c>
      <c r="H179" s="36">
        <f t="shared" si="45"/>
        <v>165.34199300001825</v>
      </c>
      <c r="I179" s="9">
        <f t="shared" si="46"/>
        <v>87.142799804663056</v>
      </c>
      <c r="J179" s="37">
        <f t="shared" si="47"/>
        <v>7085.4427427361543</v>
      </c>
      <c r="K179" s="38">
        <f t="shared" si="48"/>
        <v>165.34199300001788</v>
      </c>
      <c r="L179" s="2">
        <f t="shared" si="54"/>
        <v>7.6790869780049835</v>
      </c>
      <c r="M179" s="38">
        <f t="shared" si="55"/>
        <v>213.81360052266319</v>
      </c>
      <c r="N179" s="38">
        <f t="shared" si="56"/>
        <v>192.07746332839119</v>
      </c>
      <c r="O179" s="38">
        <f t="shared" si="51"/>
        <v>8.386352464565082</v>
      </c>
      <c r="P179" s="38">
        <f t="shared" si="52"/>
        <v>6.2897643484238115</v>
      </c>
      <c r="Q179" s="38">
        <f t="shared" si="52"/>
        <v>3.459370391633096</v>
      </c>
      <c r="R179" s="38">
        <f t="shared" si="52"/>
        <v>2.7779792538871835</v>
      </c>
      <c r="S179">
        <f t="shared" si="52"/>
        <v>10.482940580706352</v>
      </c>
      <c r="T179" s="34">
        <f t="shared" si="49"/>
        <v>10.257591578059564</v>
      </c>
    </row>
    <row r="180" spans="4:20">
      <c r="D180" s="65">
        <f t="shared" si="53"/>
        <v>1469.9591493319763</v>
      </c>
      <c r="E180" s="162">
        <v>20.500000000000099</v>
      </c>
      <c r="F180" s="9">
        <f t="shared" si="50"/>
        <v>9.3817360204854463</v>
      </c>
      <c r="G180" s="36">
        <f t="shared" si="44"/>
        <v>192.3255884199526</v>
      </c>
      <c r="H180" s="36">
        <f t="shared" si="45"/>
        <v>167.55183876699809</v>
      </c>
      <c r="I180" s="9">
        <f t="shared" si="46"/>
        <v>87.118848897599747</v>
      </c>
      <c r="J180" s="37">
        <f t="shared" si="47"/>
        <v>7116.8695084826013</v>
      </c>
      <c r="K180" s="38">
        <f t="shared" si="48"/>
        <v>167.5518387669984</v>
      </c>
      <c r="L180" s="2">
        <f t="shared" si="54"/>
        <v>7.643076313497331</v>
      </c>
      <c r="M180" s="38">
        <f t="shared" si="55"/>
        <v>216.67128399111999</v>
      </c>
      <c r="N180" s="38">
        <f t="shared" si="56"/>
        <v>194.64463674614811</v>
      </c>
      <c r="O180" s="38">
        <f t="shared" si="51"/>
        <v>8.3140262985105799</v>
      </c>
      <c r="P180" s="38">
        <f t="shared" si="52"/>
        <v>6.235519723882935</v>
      </c>
      <c r="Q180" s="38">
        <f t="shared" si="52"/>
        <v>3.4295358481356142</v>
      </c>
      <c r="R180" s="38">
        <f t="shared" si="52"/>
        <v>2.7540212113816298</v>
      </c>
      <c r="S180">
        <f t="shared" si="52"/>
        <v>10.392532873138226</v>
      </c>
      <c r="T180" s="34">
        <f t="shared" si="49"/>
        <v>10.253488727197823</v>
      </c>
    </row>
    <row r="181" spans="4:20">
      <c r="D181" s="65">
        <f t="shared" si="53"/>
        <v>1482.9587509950934</v>
      </c>
      <c r="E181" s="162">
        <v>20.600000000000101</v>
      </c>
      <c r="F181" s="9">
        <f t="shared" si="50"/>
        <v>9.4629348149529502</v>
      </c>
      <c r="G181" s="36">
        <f t="shared" si="44"/>
        <v>194.93645718803174</v>
      </c>
      <c r="H181" s="36">
        <f t="shared" si="45"/>
        <v>169.77936558425779</v>
      </c>
      <c r="I181" s="9">
        <f t="shared" si="46"/>
        <v>87.094722061400802</v>
      </c>
      <c r="J181" s="37">
        <f t="shared" si="47"/>
        <v>7148.2693013204434</v>
      </c>
      <c r="K181" s="38">
        <f t="shared" si="48"/>
        <v>169.77936558425776</v>
      </c>
      <c r="L181" s="2">
        <f t="shared" si="54"/>
        <v>7.6073956220752565</v>
      </c>
      <c r="M181" s="38">
        <f t="shared" si="55"/>
        <v>219.55183188108623</v>
      </c>
      <c r="N181" s="38">
        <f t="shared" si="56"/>
        <v>197.23235020473152</v>
      </c>
      <c r="O181" s="38">
        <f t="shared" si="51"/>
        <v>8.2426859663819645</v>
      </c>
      <c r="P181" s="38">
        <f t="shared" si="52"/>
        <v>6.1820144747864738</v>
      </c>
      <c r="Q181" s="38">
        <f t="shared" si="52"/>
        <v>3.4001079611325604</v>
      </c>
      <c r="R181" s="38">
        <f t="shared" si="52"/>
        <v>2.730389726364026</v>
      </c>
      <c r="S181">
        <f t="shared" si="52"/>
        <v>10.303357457977455</v>
      </c>
      <c r="T181" s="34">
        <f t="shared" si="49"/>
        <v>10.249384217773997</v>
      </c>
    </row>
    <row r="182" spans="4:20">
      <c r="D182" s="65">
        <f t="shared" si="53"/>
        <v>1496.0043692699087</v>
      </c>
      <c r="E182" s="162">
        <v>20.700000000000099</v>
      </c>
      <c r="F182" s="9">
        <f t="shared" si="50"/>
        <v>9.5444210407966388</v>
      </c>
      <c r="G182" s="36">
        <f t="shared" si="44"/>
        <v>197.56951554449137</v>
      </c>
      <c r="H182" s="36">
        <f t="shared" si="45"/>
        <v>172.02461423348922</v>
      </c>
      <c r="I182" s="9">
        <f t="shared" si="46"/>
        <v>87.07042367310477</v>
      </c>
      <c r="J182" s="37">
        <f t="shared" si="47"/>
        <v>7179.6421905814732</v>
      </c>
      <c r="K182" s="38">
        <f t="shared" si="48"/>
        <v>172.02461423348808</v>
      </c>
      <c r="L182" s="2">
        <f t="shared" si="54"/>
        <v>7.5720404797622649</v>
      </c>
      <c r="M182" s="38">
        <f t="shared" si="55"/>
        <v>222.4552969298021</v>
      </c>
      <c r="N182" s="38">
        <f t="shared" si="56"/>
        <v>199.84065108015164</v>
      </c>
      <c r="O182" s="38">
        <f t="shared" si="51"/>
        <v>8.1723134034633507</v>
      </c>
      <c r="P182" s="38">
        <f t="shared" ref="P182:S189" si="57">0.65*60*P$58/($F182*1000)</f>
        <v>6.1292350525975134</v>
      </c>
      <c r="Q182" s="38">
        <f t="shared" si="57"/>
        <v>3.3710792789286326</v>
      </c>
      <c r="R182" s="38">
        <f t="shared" si="57"/>
        <v>2.7070788148972351</v>
      </c>
      <c r="S182">
        <f t="shared" si="57"/>
        <v>10.21539175432919</v>
      </c>
      <c r="T182" s="34">
        <f t="shared" si="49"/>
        <v>10.245278047775063</v>
      </c>
    </row>
    <row r="183" spans="4:20">
      <c r="D183" s="65">
        <f t="shared" si="53"/>
        <v>1509.0958860766141</v>
      </c>
      <c r="E183" s="162">
        <v>20.8000000000002</v>
      </c>
      <c r="F183" s="9">
        <f t="shared" si="50"/>
        <v>9.6261939604599771</v>
      </c>
      <c r="G183" s="36">
        <f t="shared" si="44"/>
        <v>200.22483437756944</v>
      </c>
      <c r="H183" s="36">
        <f t="shared" si="45"/>
        <v>174.28762524821641</v>
      </c>
      <c r="I183" s="9">
        <f t="shared" si="46"/>
        <v>87.04595800516806</v>
      </c>
      <c r="J183" s="37">
        <f t="shared" si="47"/>
        <v>7210.9882453010241</v>
      </c>
      <c r="K183" s="38">
        <f t="shared" si="48"/>
        <v>174.28762524821789</v>
      </c>
      <c r="L183" s="2">
        <f t="shared" si="54"/>
        <v>7.5370065395128298</v>
      </c>
      <c r="M183" s="38">
        <f t="shared" si="55"/>
        <v>225.38173155359289</v>
      </c>
      <c r="N183" s="38">
        <f t="shared" si="56"/>
        <v>202.46958646012777</v>
      </c>
      <c r="O183" s="38">
        <f t="shared" si="51"/>
        <v>8.1028909577750561</v>
      </c>
      <c r="P183" s="38">
        <f t="shared" si="57"/>
        <v>6.0771682183312912</v>
      </c>
      <c r="Q183" s="38">
        <f t="shared" si="57"/>
        <v>3.3424425200822103</v>
      </c>
      <c r="R183" s="38">
        <f t="shared" si="57"/>
        <v>2.6840826297629872</v>
      </c>
      <c r="S183">
        <f t="shared" si="57"/>
        <v>10.128613697218819</v>
      </c>
      <c r="T183" s="34">
        <f t="shared" si="49"/>
        <v>10.241170215183907</v>
      </c>
    </row>
    <row r="184" spans="4:20">
      <c r="D184" s="65">
        <f t="shared" si="53"/>
        <v>1522.2331838394718</v>
      </c>
      <c r="E184" s="162">
        <v>20.900000000000201</v>
      </c>
      <c r="F184" s="9">
        <f t="shared" si="50"/>
        <v>9.7082528395356729</v>
      </c>
      <c r="G184" s="36">
        <f t="shared" si="44"/>
        <v>202.90248434629751</v>
      </c>
      <c r="H184" s="36">
        <f t="shared" si="45"/>
        <v>176.56843891547061</v>
      </c>
      <c r="I184" s="9">
        <f t="shared" si="46"/>
        <v>87.021329228339027</v>
      </c>
      <c r="J184" s="37">
        <f t="shared" si="47"/>
        <v>7242.3075342195398</v>
      </c>
      <c r="K184" s="38">
        <f t="shared" si="48"/>
        <v>176.56843891546993</v>
      </c>
      <c r="L184" s="2">
        <f t="shared" si="54"/>
        <v>7.5022895295921943</v>
      </c>
      <c r="M184" s="38">
        <f t="shared" si="55"/>
        <v>228.33118785001244</v>
      </c>
      <c r="N184" s="38">
        <f t="shared" si="56"/>
        <v>205.1192031460138</v>
      </c>
      <c r="O184" s="38">
        <f t="shared" si="51"/>
        <v>8.0344013788304451</v>
      </c>
      <c r="P184" s="38">
        <f t="shared" si="57"/>
        <v>6.0258010341228339</v>
      </c>
      <c r="Q184" s="38">
        <f t="shared" si="57"/>
        <v>3.3141905687675588</v>
      </c>
      <c r="R184" s="38">
        <f t="shared" si="57"/>
        <v>2.6613954567375853</v>
      </c>
      <c r="S184">
        <f t="shared" si="57"/>
        <v>10.043001723538056</v>
      </c>
      <c r="T184" s="34">
        <f t="shared" si="49"/>
        <v>10.237060717979341</v>
      </c>
    </row>
    <row r="185" spans="4:20">
      <c r="D185" s="65">
        <f t="shared" si="53"/>
        <v>1535.4161454839345</v>
      </c>
      <c r="E185" s="162">
        <v>21.000000000000199</v>
      </c>
      <c r="F185" s="9">
        <f t="shared" si="50"/>
        <v>9.7905969467460423</v>
      </c>
      <c r="G185" s="36">
        <f t="shared" si="44"/>
        <v>205.60253588166884</v>
      </c>
      <c r="H185" s="36">
        <f t="shared" si="45"/>
        <v>178.86709527744071</v>
      </c>
      <c r="I185" s="9">
        <f t="shared" si="46"/>
        <v>86.996541414442831</v>
      </c>
      <c r="J185" s="37">
        <f t="shared" si="47"/>
        <v>7273.6001257846483</v>
      </c>
      <c r="K185" s="38">
        <f t="shared" si="48"/>
        <v>178.86709527744236</v>
      </c>
      <c r="L185" s="2">
        <f t="shared" si="54"/>
        <v>7.4678852519971741</v>
      </c>
      <c r="M185" s="38">
        <f t="shared" si="55"/>
        <v>231.30371760001731</v>
      </c>
      <c r="N185" s="38">
        <f t="shared" si="56"/>
        <v>207.7895476547514</v>
      </c>
      <c r="O185" s="38">
        <f t="shared" si="51"/>
        <v>7.9668278067481602</v>
      </c>
      <c r="P185" s="38">
        <f t="shared" si="57"/>
        <v>5.9751208550611201</v>
      </c>
      <c r="Q185" s="38">
        <f t="shared" si="57"/>
        <v>3.2863164702836158</v>
      </c>
      <c r="R185" s="38">
        <f t="shared" si="57"/>
        <v>2.6390117109853279</v>
      </c>
      <c r="S185">
        <f t="shared" si="57"/>
        <v>9.9585347584351993</v>
      </c>
      <c r="T185" s="34">
        <f t="shared" si="49"/>
        <v>10.232949554136075</v>
      </c>
    </row>
    <row r="186" spans="4:20">
      <c r="D186" s="65">
        <f t="shared" si="53"/>
        <v>1548.6446544335499</v>
      </c>
      <c r="E186" s="162">
        <v>21.1000000000002</v>
      </c>
      <c r="F186" s="9">
        <f t="shared" si="50"/>
        <v>9.8732255539256641</v>
      </c>
      <c r="G186" s="36">
        <f t="shared" si="44"/>
        <v>208.32505918783349</v>
      </c>
      <c r="H186" s="36">
        <f t="shared" si="45"/>
        <v>181.18363413313614</v>
      </c>
      <c r="I186" s="9">
        <f t="shared" si="46"/>
        <v>86.971598539076538</v>
      </c>
      <c r="J186" s="37">
        <f t="shared" si="47"/>
        <v>7304.8660881526366</v>
      </c>
      <c r="K186" s="38">
        <f t="shared" si="48"/>
        <v>181.18363413313457</v>
      </c>
      <c r="L186" s="2">
        <f t="shared" si="54"/>
        <v>7.433789580912757</v>
      </c>
      <c r="M186" s="38">
        <f t="shared" si="55"/>
        <v>234.29937227006937</v>
      </c>
      <c r="N186" s="38">
        <f t="shared" si="56"/>
        <v>210.48066622075879</v>
      </c>
      <c r="O186" s="38">
        <f t="shared" si="51"/>
        <v>7.900153761704213</v>
      </c>
      <c r="P186" s="38">
        <f t="shared" si="57"/>
        <v>5.9251153212781604</v>
      </c>
      <c r="Q186" s="38">
        <f t="shared" si="57"/>
        <v>3.258813426702988</v>
      </c>
      <c r="R186" s="38">
        <f t="shared" si="57"/>
        <v>2.6169259335645205</v>
      </c>
      <c r="S186">
        <f t="shared" si="57"/>
        <v>9.8751922021302665</v>
      </c>
      <c r="T186" s="34">
        <f t="shared" si="49"/>
        <v>10.228836721624708</v>
      </c>
    </row>
    <row r="187" spans="4:20">
      <c r="D187" s="65">
        <f t="shared" si="53"/>
        <v>1561.9185946070688</v>
      </c>
      <c r="E187" s="162">
        <v>21.200000000000198</v>
      </c>
      <c r="F187" s="9">
        <f t="shared" si="50"/>
        <v>9.9561379360012463</v>
      </c>
      <c r="G187" s="36">
        <f t="shared" si="44"/>
        <v>211.07012424322841</v>
      </c>
      <c r="H187" s="36">
        <f t="shared" si="45"/>
        <v>183.51809503999249</v>
      </c>
      <c r="I187" s="9">
        <f t="shared" si="46"/>
        <v>86.946504484222459</v>
      </c>
      <c r="J187" s="37">
        <f t="shared" si="47"/>
        <v>7336.1054891903605</v>
      </c>
      <c r="K187" s="38">
        <f t="shared" si="48"/>
        <v>183.51809503999169</v>
      </c>
      <c r="L187" s="2">
        <f t="shared" si="54"/>
        <v>7.3999984612089342</v>
      </c>
      <c r="M187" s="38">
        <f t="shared" si="55"/>
        <v>237.31820301426185</v>
      </c>
      <c r="N187" s="38">
        <f t="shared" si="56"/>
        <v>213.19260479784111</v>
      </c>
      <c r="O187" s="38">
        <f t="shared" si="51"/>
        <v>7.8343631337160522</v>
      </c>
      <c r="P187" s="38">
        <f t="shared" si="57"/>
        <v>5.8757723502870389</v>
      </c>
      <c r="Q187" s="38">
        <f t="shared" si="57"/>
        <v>3.2316747926578717</v>
      </c>
      <c r="R187" s="38">
        <f t="shared" si="57"/>
        <v>2.5951327880434425</v>
      </c>
      <c r="S187">
        <f t="shared" si="57"/>
        <v>9.7929539171450664</v>
      </c>
      <c r="T187" s="34">
        <f t="shared" si="49"/>
        <v>10.224722218411713</v>
      </c>
    </row>
    <row r="188" spans="4:20">
      <c r="D188" s="65">
        <f t="shared" si="53"/>
        <v>1575.2378504154622</v>
      </c>
      <c r="E188" s="162">
        <v>21.3000000000002</v>
      </c>
      <c r="F188" s="9">
        <f t="shared" si="50"/>
        <v>10.03933337097472</v>
      </c>
      <c r="G188" s="36">
        <f t="shared" si="44"/>
        <v>213.83780080176354</v>
      </c>
      <c r="H188" s="36">
        <f t="shared" si="45"/>
        <v>185.87051731551432</v>
      </c>
      <c r="I188" s="9">
        <f t="shared" si="46"/>
        <v>86.921263040777319</v>
      </c>
      <c r="J188" s="37">
        <f t="shared" si="47"/>
        <v>7367.3183964768441</v>
      </c>
      <c r="K188" s="38">
        <f t="shared" si="48"/>
        <v>185.87051731551455</v>
      </c>
      <c r="L188" s="2">
        <f t="shared" si="54"/>
        <v>7.366507906970913</v>
      </c>
      <c r="M188" s="38">
        <f t="shared" si="55"/>
        <v>240.36026067640205</v>
      </c>
      <c r="N188" s="38">
        <f t="shared" si="56"/>
        <v>215.92540906106046</v>
      </c>
      <c r="O188" s="38">
        <f t="shared" si="51"/>
        <v>7.7694401727419642</v>
      </c>
      <c r="P188" s="38">
        <f t="shared" si="57"/>
        <v>5.8270801295564736</v>
      </c>
      <c r="Q188" s="38">
        <f t="shared" si="57"/>
        <v>3.2048940712560605</v>
      </c>
      <c r="R188" s="38">
        <f t="shared" si="57"/>
        <v>2.5736270572207758</v>
      </c>
      <c r="S188">
        <f t="shared" si="57"/>
        <v>9.7118002159274557</v>
      </c>
      <c r="T188" s="34">
        <f t="shared" si="49"/>
        <v>10.220606042459439</v>
      </c>
    </row>
    <row r="189" spans="4:20">
      <c r="D189" s="165">
        <f t="shared" si="53"/>
        <v>1588.6023067590224</v>
      </c>
      <c r="E189" s="163">
        <v>21.400000000000201</v>
      </c>
      <c r="F189" s="17">
        <f t="shared" si="50"/>
        <v>10.122811139904281</v>
      </c>
      <c r="G189" s="61">
        <f t="shared" si="44"/>
        <v>216.62815839395364</v>
      </c>
      <c r="H189" s="61">
        <f t="shared" si="45"/>
        <v>188.24094003886819</v>
      </c>
      <c r="I189" s="17">
        <f t="shared" si="46"/>
        <v>86.89587791100486</v>
      </c>
      <c r="J189" s="62">
        <f t="shared" si="47"/>
        <v>7398.5048773050385</v>
      </c>
      <c r="K189" s="38">
        <f t="shared" si="48"/>
        <v>188.24094003886884</v>
      </c>
      <c r="L189" s="2">
        <f t="shared" si="54"/>
        <v>7.3333140000665873</v>
      </c>
      <c r="M189" s="38">
        <f t="shared" si="55"/>
        <v>243.42559579209222</v>
      </c>
      <c r="N189" s="38">
        <f t="shared" si="56"/>
        <v>218.67912440860562</v>
      </c>
      <c r="O189" s="38">
        <f t="shared" si="51"/>
        <v>7.7053694790889429</v>
      </c>
      <c r="P189" s="38">
        <f t="shared" si="57"/>
        <v>5.7790271093167069</v>
      </c>
      <c r="Q189" s="38">
        <f t="shared" si="57"/>
        <v>3.1784649101241889</v>
      </c>
      <c r="R189" s="38">
        <f t="shared" si="57"/>
        <v>2.5524036399482126</v>
      </c>
      <c r="S189">
        <f t="shared" si="57"/>
        <v>9.6317118488611797</v>
      </c>
      <c r="T189" s="34">
        <f t="shared" si="49"/>
        <v>10.216488191726077</v>
      </c>
    </row>
  </sheetData>
  <phoneticPr fontId="1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3:X74"/>
  <sheetViews>
    <sheetView topLeftCell="A16" workbookViewId="0">
      <selection activeCell="P56" sqref="P56"/>
    </sheetView>
  </sheetViews>
  <sheetFormatPr baseColWidth="10" defaultRowHeight="15"/>
  <cols>
    <col min="1" max="1" width="13.1640625" bestFit="1" customWidth="1"/>
    <col min="6" max="6" width="14" customWidth="1"/>
    <col min="7" max="7" width="13.83203125" bestFit="1" customWidth="1"/>
    <col min="13" max="13" width="13.83203125" bestFit="1" customWidth="1"/>
  </cols>
  <sheetData>
    <row r="3" spans="1:24">
      <c r="A3" t="s">
        <v>373</v>
      </c>
      <c r="G3" t="s">
        <v>374</v>
      </c>
      <c r="M3" t="s">
        <v>100</v>
      </c>
      <c r="S3" t="s">
        <v>338</v>
      </c>
    </row>
    <row r="4" spans="1:24">
      <c r="A4" s="70"/>
      <c r="B4" s="71"/>
      <c r="C4" s="71"/>
      <c r="D4" s="71"/>
      <c r="E4" s="71"/>
      <c r="F4" s="72"/>
      <c r="G4" s="70"/>
      <c r="H4" s="71"/>
      <c r="I4" s="71"/>
      <c r="J4" s="71"/>
      <c r="K4" s="71"/>
      <c r="L4" s="72"/>
      <c r="M4" s="70"/>
      <c r="N4" s="71"/>
      <c r="O4" s="71"/>
      <c r="P4" s="71"/>
      <c r="Q4" s="71"/>
      <c r="R4" s="72"/>
      <c r="S4" s="70"/>
      <c r="T4" s="71"/>
      <c r="U4" s="71"/>
      <c r="V4" s="71"/>
      <c r="W4" s="71"/>
      <c r="X4" s="72"/>
    </row>
    <row r="5" spans="1:24">
      <c r="A5" s="73" t="s">
        <v>366</v>
      </c>
      <c r="B5" s="67" t="s">
        <v>77</v>
      </c>
      <c r="C5" s="67">
        <f>20*20</f>
        <v>400</v>
      </c>
      <c r="D5" s="67" t="s">
        <v>73</v>
      </c>
      <c r="E5" s="67"/>
      <c r="F5" s="74"/>
      <c r="G5" s="73" t="s">
        <v>366</v>
      </c>
      <c r="H5" s="67" t="s">
        <v>77</v>
      </c>
      <c r="I5" s="67">
        <f>20*20</f>
        <v>400</v>
      </c>
      <c r="J5" s="67" t="s">
        <v>73</v>
      </c>
      <c r="K5" s="67"/>
      <c r="L5" s="74"/>
      <c r="M5" s="73" t="s">
        <v>366</v>
      </c>
      <c r="N5" s="67" t="s">
        <v>77</v>
      </c>
      <c r="O5" s="67">
        <f>20*20</f>
        <v>400</v>
      </c>
      <c r="P5" s="67" t="s">
        <v>73</v>
      </c>
      <c r="Q5" s="67"/>
      <c r="R5" s="74"/>
      <c r="S5" s="73" t="s">
        <v>366</v>
      </c>
      <c r="T5" s="67" t="s">
        <v>77</v>
      </c>
      <c r="U5" s="67">
        <f>20*20</f>
        <v>400</v>
      </c>
      <c r="V5" s="170" t="s">
        <v>72</v>
      </c>
      <c r="W5" s="67"/>
      <c r="X5" s="74"/>
    </row>
    <row r="6" spans="1:24">
      <c r="A6" s="73" t="s">
        <v>298</v>
      </c>
      <c r="B6" s="67" t="s">
        <v>78</v>
      </c>
      <c r="C6" s="67">
        <f>5.8*5.8*2</f>
        <v>67.28</v>
      </c>
      <c r="D6" s="67" t="s">
        <v>73</v>
      </c>
      <c r="E6" s="67"/>
      <c r="F6" s="74"/>
      <c r="G6" s="73" t="s">
        <v>298</v>
      </c>
      <c r="H6" s="67" t="s">
        <v>78</v>
      </c>
      <c r="I6" s="67">
        <f>5.8*5.8*2</f>
        <v>67.28</v>
      </c>
      <c r="J6" s="67" t="s">
        <v>73</v>
      </c>
      <c r="K6" s="67"/>
      <c r="L6" s="74"/>
      <c r="M6" s="73" t="s">
        <v>298</v>
      </c>
      <c r="N6" s="67" t="s">
        <v>78</v>
      </c>
      <c r="O6" s="67">
        <f>5.8*5.8*2</f>
        <v>67.28</v>
      </c>
      <c r="P6" s="67" t="s">
        <v>73</v>
      </c>
      <c r="Q6" s="67"/>
      <c r="R6" s="74"/>
      <c r="S6" s="73" t="s">
        <v>298</v>
      </c>
      <c r="T6" s="67" t="s">
        <v>78</v>
      </c>
      <c r="U6" s="67">
        <f>5.8*5.8*2</f>
        <v>67.28</v>
      </c>
      <c r="V6" s="170" t="s">
        <v>72</v>
      </c>
      <c r="W6" s="67"/>
      <c r="X6" s="74"/>
    </row>
    <row r="7" spans="1:24">
      <c r="A7" s="73" t="s">
        <v>367</v>
      </c>
      <c r="B7" s="67" t="s">
        <v>79</v>
      </c>
      <c r="C7" s="67">
        <f>PI()*8^2/4</f>
        <v>50.26548245743669</v>
      </c>
      <c r="D7" s="67" t="s">
        <v>72</v>
      </c>
      <c r="E7" s="67"/>
      <c r="F7" s="74"/>
      <c r="G7" s="73" t="s">
        <v>367</v>
      </c>
      <c r="H7" s="67" t="s">
        <v>79</v>
      </c>
      <c r="I7" s="67">
        <f>PI()*8^2/4</f>
        <v>50.26548245743669</v>
      </c>
      <c r="J7" s="67" t="s">
        <v>72</v>
      </c>
      <c r="K7" s="67"/>
      <c r="L7" s="74"/>
      <c r="M7" s="73" t="s">
        <v>367</v>
      </c>
      <c r="N7" s="67" t="s">
        <v>79</v>
      </c>
      <c r="O7" s="67">
        <f>PI()*8^2/4</f>
        <v>50.26548245743669</v>
      </c>
      <c r="P7" s="67" t="s">
        <v>72</v>
      </c>
      <c r="Q7" s="67"/>
      <c r="R7" s="74"/>
      <c r="S7" s="73" t="s">
        <v>367</v>
      </c>
      <c r="T7" s="67" t="s">
        <v>79</v>
      </c>
      <c r="U7" s="67">
        <f>PI()*8^2/4</f>
        <v>50.26548245743669</v>
      </c>
      <c r="V7" s="170" t="s">
        <v>72</v>
      </c>
      <c r="W7" s="67"/>
      <c r="X7" s="74"/>
    </row>
    <row r="8" spans="1:24">
      <c r="A8" s="73" t="s">
        <v>368</v>
      </c>
      <c r="B8" s="67"/>
      <c r="C8" s="67">
        <f>5.42*5.42-(4.41^2/2)</f>
        <v>19.652349999999998</v>
      </c>
      <c r="D8" s="67" t="s">
        <v>72</v>
      </c>
      <c r="E8" s="67"/>
      <c r="F8" s="74"/>
      <c r="G8" s="73" t="s">
        <v>368</v>
      </c>
      <c r="H8" s="67"/>
      <c r="I8" s="67">
        <f>5.42*5.42-(4.41^2/2)</f>
        <v>19.652349999999998</v>
      </c>
      <c r="J8" s="67" t="s">
        <v>72</v>
      </c>
      <c r="K8" s="67"/>
      <c r="L8" s="74"/>
      <c r="M8" s="73" t="s">
        <v>368</v>
      </c>
      <c r="N8" s="67"/>
      <c r="O8" s="67">
        <f>5.42*5.42-(4.41^2/2)</f>
        <v>19.652349999999998</v>
      </c>
      <c r="P8" s="67" t="s">
        <v>72</v>
      </c>
      <c r="Q8" s="67"/>
      <c r="R8" s="74"/>
      <c r="S8" s="73" t="s">
        <v>368</v>
      </c>
      <c r="T8" s="67"/>
      <c r="U8" s="67">
        <f>5.42*5.42-(4.41^2/2)</f>
        <v>19.652349999999998</v>
      </c>
      <c r="V8" s="170" t="s">
        <v>72</v>
      </c>
      <c r="W8" s="67"/>
      <c r="X8" s="74"/>
    </row>
    <row r="9" spans="1:24">
      <c r="A9" s="73" t="s">
        <v>369</v>
      </c>
      <c r="B9" s="67" t="s">
        <v>80</v>
      </c>
      <c r="C9" s="67">
        <f>(C5-C6-C7-C8)/100</f>
        <v>2.6280216754256331</v>
      </c>
      <c r="D9" s="67" t="s">
        <v>74</v>
      </c>
      <c r="E9" s="67"/>
      <c r="F9" s="74"/>
      <c r="G9" s="44" t="s">
        <v>99</v>
      </c>
      <c r="I9">
        <f>0.2*0.36*4</f>
        <v>0.28799999999999998</v>
      </c>
      <c r="J9" s="67" t="s">
        <v>72</v>
      </c>
      <c r="K9" s="67"/>
      <c r="L9" s="74"/>
      <c r="M9" s="44" t="s">
        <v>99</v>
      </c>
      <c r="O9">
        <f>0.2*0.36*4</f>
        <v>0.28799999999999998</v>
      </c>
      <c r="P9" s="67" t="s">
        <v>72</v>
      </c>
      <c r="Q9" s="67"/>
      <c r="R9" s="74"/>
      <c r="S9" s="44" t="s">
        <v>99</v>
      </c>
      <c r="U9">
        <f>0.2*0.36*4</f>
        <v>0.28799999999999998</v>
      </c>
      <c r="V9" s="170" t="s">
        <v>72</v>
      </c>
      <c r="W9" s="67"/>
      <c r="X9" s="74"/>
    </row>
    <row r="10" spans="1:24">
      <c r="A10" s="73" t="s">
        <v>370</v>
      </c>
      <c r="B10" s="67" t="s">
        <v>81</v>
      </c>
      <c r="C10" s="67">
        <f>C9*0.02</f>
        <v>5.2560433508512666E-2</v>
      </c>
      <c r="D10" s="67" t="s">
        <v>75</v>
      </c>
      <c r="E10" s="67"/>
      <c r="F10" s="74"/>
      <c r="G10" s="73" t="s">
        <v>369</v>
      </c>
      <c r="H10" s="67" t="s">
        <v>80</v>
      </c>
      <c r="I10" s="67">
        <f>(I5-I6-I7-I8-I9)/100</f>
        <v>2.6251416754256329</v>
      </c>
      <c r="J10" s="67" t="s">
        <v>74</v>
      </c>
      <c r="K10" s="67"/>
      <c r="L10" s="74"/>
      <c r="M10" s="73" t="s">
        <v>369</v>
      </c>
      <c r="N10" s="67" t="s">
        <v>80</v>
      </c>
      <c r="O10" s="67">
        <f>(O5-O6-O7-O8-O9)/100</f>
        <v>2.6251416754256329</v>
      </c>
      <c r="P10" s="67" t="s">
        <v>74</v>
      </c>
      <c r="Q10" s="67"/>
      <c r="R10" s="74"/>
      <c r="S10" s="73" t="s">
        <v>369</v>
      </c>
      <c r="T10" s="67" t="s">
        <v>80</v>
      </c>
      <c r="U10" s="67">
        <f>(U5-U6-U7-U8-U9)/100</f>
        <v>2.6251416754256329</v>
      </c>
      <c r="V10" s="67" t="s">
        <v>74</v>
      </c>
      <c r="W10" s="67"/>
      <c r="X10" s="74"/>
    </row>
    <row r="11" spans="1:24">
      <c r="A11" s="73"/>
      <c r="B11" s="67"/>
      <c r="C11" s="67">
        <f>C10*2700</f>
        <v>141.91317047298421</v>
      </c>
      <c r="D11" s="67" t="s">
        <v>31</v>
      </c>
      <c r="E11" s="67"/>
      <c r="F11" s="74"/>
      <c r="G11" s="73" t="s">
        <v>370</v>
      </c>
      <c r="H11" s="67" t="s">
        <v>81</v>
      </c>
      <c r="I11" s="67">
        <f>I10*0.015</f>
        <v>3.9377125131384492E-2</v>
      </c>
      <c r="J11" s="67" t="s">
        <v>75</v>
      </c>
      <c r="K11" s="67"/>
      <c r="L11" s="74"/>
      <c r="M11" s="73" t="s">
        <v>370</v>
      </c>
      <c r="N11" s="67" t="s">
        <v>81</v>
      </c>
      <c r="O11" s="67">
        <f>O10*0.015</f>
        <v>3.9377125131384492E-2</v>
      </c>
      <c r="P11" s="67" t="s">
        <v>75</v>
      </c>
      <c r="Q11" s="67"/>
      <c r="R11" s="74"/>
      <c r="S11" s="73" t="s">
        <v>370</v>
      </c>
      <c r="T11" s="67" t="s">
        <v>81</v>
      </c>
      <c r="U11" s="67">
        <f>U10*0.015</f>
        <v>3.9377125131384492E-2</v>
      </c>
      <c r="V11" s="67" t="s">
        <v>75</v>
      </c>
      <c r="W11" s="67"/>
      <c r="X11" s="74"/>
    </row>
    <row r="12" spans="1:24">
      <c r="A12" s="73"/>
      <c r="B12" s="67"/>
      <c r="C12" s="67"/>
      <c r="D12" s="67"/>
      <c r="E12" s="67"/>
      <c r="F12" s="74"/>
      <c r="G12" s="73"/>
      <c r="H12" s="67"/>
      <c r="I12" s="67">
        <f>I11*2000</f>
        <v>78.754250262768991</v>
      </c>
      <c r="J12" s="67" t="s">
        <v>31</v>
      </c>
      <c r="K12" s="67"/>
      <c r="L12" s="74"/>
      <c r="M12" s="73"/>
      <c r="N12" s="67"/>
      <c r="O12" s="67">
        <f>O11*2000</f>
        <v>78.754250262768991</v>
      </c>
      <c r="P12" s="67" t="s">
        <v>410</v>
      </c>
      <c r="Q12" s="67"/>
      <c r="R12" s="74"/>
      <c r="S12" s="73"/>
      <c r="T12" s="67"/>
      <c r="U12" s="67">
        <f>U11*2000</f>
        <v>78.754250262768991</v>
      </c>
      <c r="V12" s="67" t="s">
        <v>410</v>
      </c>
      <c r="W12" s="67"/>
      <c r="X12" s="74"/>
    </row>
    <row r="13" spans="1:24">
      <c r="A13" s="73"/>
      <c r="B13" s="67"/>
      <c r="C13" s="67"/>
      <c r="D13" s="67"/>
      <c r="E13" s="67"/>
      <c r="F13" s="74"/>
      <c r="G13" s="73"/>
      <c r="H13" s="67"/>
      <c r="I13" s="67"/>
      <c r="J13" s="67"/>
      <c r="K13" s="67"/>
      <c r="L13" s="74"/>
      <c r="M13" s="73"/>
      <c r="N13" s="67"/>
      <c r="O13" s="67"/>
      <c r="P13" s="67"/>
      <c r="Q13" s="67"/>
      <c r="R13" s="74"/>
      <c r="S13" s="73"/>
      <c r="T13" s="67"/>
      <c r="U13" s="67"/>
      <c r="V13" s="67"/>
      <c r="W13" s="67"/>
      <c r="X13" s="74"/>
    </row>
    <row r="14" spans="1:24">
      <c r="A14" s="73"/>
      <c r="B14" s="67"/>
      <c r="C14" s="67"/>
      <c r="D14" s="67"/>
      <c r="E14" s="67"/>
      <c r="F14" s="74"/>
      <c r="G14" s="73"/>
      <c r="H14" s="67"/>
      <c r="I14" s="67"/>
      <c r="J14" s="67"/>
      <c r="K14" s="67"/>
      <c r="L14" s="74"/>
      <c r="M14" s="73"/>
      <c r="N14" s="67"/>
      <c r="O14" s="67"/>
      <c r="P14" s="67"/>
      <c r="Q14" s="67"/>
      <c r="R14" s="74"/>
      <c r="S14" s="73"/>
      <c r="T14" s="67"/>
      <c r="U14" s="67"/>
      <c r="V14" s="67"/>
      <c r="W14" s="67"/>
      <c r="X14" s="74"/>
    </row>
    <row r="15" spans="1:24">
      <c r="A15" s="73">
        <f>0.42*0.41*0.06*2.7*1000</f>
        <v>27.8964</v>
      </c>
      <c r="B15" s="67" t="s">
        <v>170</v>
      </c>
      <c r="C15" s="67" t="s">
        <v>276</v>
      </c>
      <c r="D15" s="67"/>
      <c r="E15" s="67"/>
      <c r="F15" s="74"/>
      <c r="G15" s="73">
        <f>0.42*0.41*0.06*2.7*1000</f>
        <v>27.8964</v>
      </c>
      <c r="H15" s="67" t="s">
        <v>170</v>
      </c>
      <c r="I15" s="67" t="s">
        <v>276</v>
      </c>
      <c r="J15" s="67"/>
      <c r="K15" s="67"/>
      <c r="L15" s="74"/>
      <c r="M15" s="73">
        <f>0.42*0.31*0.05*2.7*1000</f>
        <v>17.576999999999998</v>
      </c>
      <c r="N15" s="67" t="s">
        <v>410</v>
      </c>
      <c r="O15" s="67" t="s">
        <v>276</v>
      </c>
      <c r="P15" s="67"/>
      <c r="Q15" s="67"/>
      <c r="R15" s="74"/>
      <c r="S15" s="73">
        <f>0.42*0.31*0.05*0.85*1000</f>
        <v>5.5334999999999992</v>
      </c>
      <c r="T15" s="67" t="s">
        <v>410</v>
      </c>
      <c r="U15" s="67" t="s">
        <v>276</v>
      </c>
      <c r="V15" s="67"/>
      <c r="W15" s="67"/>
      <c r="X15" s="74"/>
    </row>
    <row r="16" spans="1:24">
      <c r="A16" s="73">
        <f>PI()*0.22^2/4*0.06*2.7*1000</f>
        <v>6.1581499195667124</v>
      </c>
      <c r="B16" s="67" t="s">
        <v>5</v>
      </c>
      <c r="C16" s="67" t="s">
        <v>274</v>
      </c>
      <c r="D16" s="67"/>
      <c r="E16" s="67"/>
      <c r="F16" s="74"/>
      <c r="G16" s="73">
        <f>PI()*0.22^2/4*0.06*2.7*1000</f>
        <v>6.1581499195667124</v>
      </c>
      <c r="H16" s="67" t="s">
        <v>5</v>
      </c>
      <c r="I16" s="67" t="s">
        <v>274</v>
      </c>
      <c r="J16" s="67"/>
      <c r="K16" s="67"/>
      <c r="L16" s="74"/>
      <c r="M16" s="73">
        <f>PI()*0.22^2/4*0.05*2.7*1000</f>
        <v>5.1317915996389276</v>
      </c>
      <c r="N16" s="67" t="s">
        <v>410</v>
      </c>
      <c r="O16" s="67" t="s">
        <v>274</v>
      </c>
      <c r="P16" s="67"/>
      <c r="Q16" s="67"/>
      <c r="R16" s="74"/>
      <c r="S16" s="73">
        <f>PI()*0.22^2/4*0.05*0.85*1000</f>
        <v>1.6155640221085512</v>
      </c>
      <c r="T16" s="67" t="s">
        <v>410</v>
      </c>
      <c r="U16" s="67" t="s">
        <v>274</v>
      </c>
      <c r="V16" s="67"/>
      <c r="W16" s="67"/>
      <c r="X16" s="74"/>
    </row>
    <row r="17" spans="1:24">
      <c r="A17" s="73">
        <f>PI()*0.03^2/4*0.41*2*2700</f>
        <v>1.5649843803857553</v>
      </c>
      <c r="B17" s="67" t="s">
        <v>37</v>
      </c>
      <c r="C17" s="67" t="s">
        <v>275</v>
      </c>
      <c r="D17" s="67"/>
      <c r="E17" s="67"/>
      <c r="F17" s="74"/>
      <c r="G17" s="73">
        <f>PI()*0.03^2/4*0.41*2*2700</f>
        <v>1.5649843803857553</v>
      </c>
      <c r="H17" s="67" t="s">
        <v>37</v>
      </c>
      <c r="I17" s="67" t="s">
        <v>275</v>
      </c>
      <c r="J17" s="67"/>
      <c r="K17" s="67"/>
      <c r="L17" s="74"/>
      <c r="M17" s="73">
        <f>PI()*0.03^2/4*0.41*2*2700</f>
        <v>1.5649843803857553</v>
      </c>
      <c r="N17" s="67" t="s">
        <v>37</v>
      </c>
      <c r="O17" s="67" t="s">
        <v>275</v>
      </c>
      <c r="P17" s="67"/>
      <c r="Q17" s="67"/>
      <c r="R17" s="74"/>
      <c r="S17" s="73">
        <f>PI()*0.03^2/4*0.41*2*850</f>
        <v>0.49268026789921926</v>
      </c>
      <c r="T17" s="67" t="s">
        <v>164</v>
      </c>
      <c r="U17" s="67" t="s">
        <v>275</v>
      </c>
      <c r="V17" s="67"/>
      <c r="W17" s="67"/>
      <c r="X17" s="74"/>
    </row>
    <row r="18" spans="1:24">
      <c r="A18" s="73">
        <f>A15-A16-A17</f>
        <v>20.173265700047533</v>
      </c>
      <c r="B18" s="67" t="s">
        <v>37</v>
      </c>
      <c r="C18" s="67" t="s">
        <v>273</v>
      </c>
      <c r="D18" s="67" t="s">
        <v>277</v>
      </c>
      <c r="E18" s="67"/>
      <c r="F18" s="74"/>
      <c r="G18" s="73">
        <f>G15-G16-G17</f>
        <v>20.173265700047533</v>
      </c>
      <c r="H18" s="67" t="s">
        <v>37</v>
      </c>
      <c r="I18" s="67" t="s">
        <v>273</v>
      </c>
      <c r="J18" s="67" t="s">
        <v>277</v>
      </c>
      <c r="K18" s="67"/>
      <c r="L18" s="74"/>
      <c r="M18" s="73">
        <f>M15-M16-M17</f>
        <v>10.880224019975316</v>
      </c>
      <c r="N18" s="67" t="s">
        <v>37</v>
      </c>
      <c r="O18" s="67" t="s">
        <v>273</v>
      </c>
      <c r="P18" s="67" t="s">
        <v>277</v>
      </c>
      <c r="Q18" s="67"/>
      <c r="R18" s="74"/>
      <c r="S18" s="73">
        <f>S15-S16-S17</f>
        <v>3.4252557099922285</v>
      </c>
      <c r="T18" s="67" t="s">
        <v>164</v>
      </c>
      <c r="U18" s="67" t="s">
        <v>273</v>
      </c>
      <c r="V18" s="67" t="s">
        <v>277</v>
      </c>
      <c r="W18" s="67"/>
      <c r="X18" s="74"/>
    </row>
    <row r="19" spans="1:24">
      <c r="A19" s="73"/>
      <c r="B19" s="67"/>
      <c r="C19" s="67"/>
      <c r="D19" s="67"/>
      <c r="E19" s="67"/>
      <c r="F19" s="74"/>
      <c r="G19" s="73"/>
      <c r="H19" s="67"/>
      <c r="I19" s="67"/>
      <c r="J19" s="67"/>
      <c r="K19" s="67"/>
      <c r="L19" s="74"/>
      <c r="M19" s="73"/>
      <c r="N19" s="67"/>
      <c r="O19" s="67"/>
      <c r="P19" s="67"/>
      <c r="Q19" s="67"/>
      <c r="R19" s="74"/>
      <c r="S19" s="73"/>
      <c r="T19" s="67"/>
      <c r="U19" s="67"/>
      <c r="V19" s="67"/>
      <c r="W19" s="67"/>
      <c r="X19" s="74"/>
    </row>
    <row r="20" spans="1:24">
      <c r="A20" s="73"/>
      <c r="B20" s="67"/>
      <c r="C20" s="67"/>
      <c r="D20" s="67"/>
      <c r="E20" s="67"/>
      <c r="F20" s="74"/>
      <c r="G20" s="73"/>
      <c r="H20" s="67"/>
      <c r="I20" s="67"/>
      <c r="J20" s="67"/>
      <c r="K20" s="67"/>
      <c r="L20" s="74"/>
      <c r="M20" s="73" t="s">
        <v>283</v>
      </c>
      <c r="N20" s="67"/>
      <c r="O20" s="67"/>
      <c r="P20" s="67"/>
      <c r="Q20" s="67"/>
      <c r="R20" s="74"/>
      <c r="S20" s="73" t="s">
        <v>283</v>
      </c>
      <c r="T20" s="67"/>
      <c r="U20" s="67"/>
      <c r="V20" s="67"/>
      <c r="W20" s="67"/>
      <c r="X20" s="74"/>
    </row>
    <row r="21" spans="1:24">
      <c r="A21" s="73" t="s">
        <v>283</v>
      </c>
      <c r="B21" s="67"/>
      <c r="C21" s="67"/>
      <c r="D21" s="67"/>
      <c r="E21" s="67"/>
      <c r="F21" s="74"/>
      <c r="G21" s="73" t="s">
        <v>283</v>
      </c>
      <c r="H21" s="67"/>
      <c r="I21" s="67"/>
      <c r="J21" s="67"/>
      <c r="K21" s="67"/>
      <c r="L21" s="74"/>
      <c r="M21" s="73" t="s">
        <v>169</v>
      </c>
      <c r="N21" s="67" t="s">
        <v>278</v>
      </c>
      <c r="O21" s="67">
        <v>4</v>
      </c>
      <c r="P21" s="67">
        <f>25.25*29.1/25</f>
        <v>29.391000000000005</v>
      </c>
      <c r="Q21" s="67">
        <f>O21*P21</f>
        <v>117.56400000000002</v>
      </c>
      <c r="R21" s="74" t="s">
        <v>410</v>
      </c>
      <c r="S21" s="73" t="s">
        <v>169</v>
      </c>
      <c r="T21" s="67" t="s">
        <v>278</v>
      </c>
      <c r="U21" s="67">
        <v>4</v>
      </c>
      <c r="V21" s="67">
        <f>25.25*29.1/25</f>
        <v>29.391000000000005</v>
      </c>
      <c r="W21" s="67">
        <f>U21*V21</f>
        <v>117.56400000000002</v>
      </c>
      <c r="X21" s="74" t="s">
        <v>410</v>
      </c>
    </row>
    <row r="22" spans="1:24">
      <c r="A22" s="73" t="s">
        <v>358</v>
      </c>
      <c r="B22" s="67" t="s">
        <v>278</v>
      </c>
      <c r="C22" s="67">
        <v>4</v>
      </c>
      <c r="D22" s="67">
        <v>25.25</v>
      </c>
      <c r="E22" s="67">
        <f>C22*D22</f>
        <v>101</v>
      </c>
      <c r="F22" s="74" t="s">
        <v>5</v>
      </c>
      <c r="G22" s="73" t="s">
        <v>169</v>
      </c>
      <c r="H22" s="67" t="s">
        <v>278</v>
      </c>
      <c r="I22" s="67">
        <v>4</v>
      </c>
      <c r="J22" s="67">
        <f>25.25*29.1/25</f>
        <v>29.391000000000005</v>
      </c>
      <c r="K22" s="67">
        <f>I22*J22</f>
        <v>117.56400000000002</v>
      </c>
      <c r="L22" s="74" t="s">
        <v>5</v>
      </c>
      <c r="M22" s="73" t="s">
        <v>272</v>
      </c>
      <c r="N22" s="67" t="s">
        <v>279</v>
      </c>
      <c r="O22" s="67">
        <v>32</v>
      </c>
      <c r="P22" s="67">
        <f>PI()*0.0275^2/4*0.5*7.5*1000</f>
        <v>2.2273401040099512</v>
      </c>
      <c r="Q22" s="129">
        <f>P22*O22</f>
        <v>71.274883328318438</v>
      </c>
      <c r="R22" s="74" t="s">
        <v>410</v>
      </c>
      <c r="S22" s="73" t="s">
        <v>272</v>
      </c>
      <c r="T22" s="67" t="s">
        <v>279</v>
      </c>
      <c r="U22" s="67">
        <v>32</v>
      </c>
      <c r="V22" s="67">
        <f>PI()*0.0275^2/4*0.5*7.5*1000</f>
        <v>2.2273401040099512</v>
      </c>
      <c r="W22" s="129">
        <f>V22*U22</f>
        <v>71.274883328318438</v>
      </c>
      <c r="X22" s="74" t="s">
        <v>410</v>
      </c>
    </row>
    <row r="23" spans="1:24">
      <c r="A23" s="73" t="s">
        <v>272</v>
      </c>
      <c r="B23" s="67" t="s">
        <v>279</v>
      </c>
      <c r="C23" s="67">
        <v>32</v>
      </c>
      <c r="D23" s="67">
        <f>PI()*0.0275^2/4*0.55*7.5*1000</f>
        <v>2.4500741144109464</v>
      </c>
      <c r="E23" s="67">
        <f>D23*C23</f>
        <v>78.402371661150283</v>
      </c>
      <c r="F23" s="74" t="s">
        <v>5</v>
      </c>
      <c r="G23" s="73" t="s">
        <v>272</v>
      </c>
      <c r="H23" s="67" t="s">
        <v>279</v>
      </c>
      <c r="I23" s="67">
        <v>32</v>
      </c>
      <c r="J23" s="67">
        <f>PI()*0.0275^2/4*0.5*7.5*1000</f>
        <v>2.2273401040099512</v>
      </c>
      <c r="K23" s="67">
        <f>J23*I23</f>
        <v>71.274883328318438</v>
      </c>
      <c r="L23" s="74" t="s">
        <v>5</v>
      </c>
      <c r="M23" s="73" t="s">
        <v>76</v>
      </c>
      <c r="N23" s="67" t="s">
        <v>365</v>
      </c>
      <c r="O23" s="67">
        <v>16</v>
      </c>
      <c r="P23" s="67">
        <f>M18</f>
        <v>10.880224019975316</v>
      </c>
      <c r="Q23" s="129">
        <f>P23*O23</f>
        <v>174.08358431960505</v>
      </c>
      <c r="R23" s="74" t="s">
        <v>410</v>
      </c>
      <c r="S23" s="73" t="s">
        <v>76</v>
      </c>
      <c r="T23" s="67" t="s">
        <v>379</v>
      </c>
      <c r="U23" s="67">
        <v>16</v>
      </c>
      <c r="V23" s="67">
        <f>S18</f>
        <v>3.4252557099922285</v>
      </c>
      <c r="W23" s="129">
        <f>V23*U23</f>
        <v>54.804091359875656</v>
      </c>
      <c r="X23" s="74" t="s">
        <v>410</v>
      </c>
    </row>
    <row r="24" spans="1:24">
      <c r="A24" s="73" t="s">
        <v>76</v>
      </c>
      <c r="B24" s="67" t="s">
        <v>365</v>
      </c>
      <c r="C24" s="67">
        <v>16</v>
      </c>
      <c r="D24" s="67">
        <f>A18</f>
        <v>20.173265700047533</v>
      </c>
      <c r="E24" s="129">
        <f>D24*C24</f>
        <v>322.77225120076054</v>
      </c>
      <c r="F24" s="74" t="s">
        <v>5</v>
      </c>
      <c r="G24" s="73" t="s">
        <v>76</v>
      </c>
      <c r="H24" s="67" t="s">
        <v>365</v>
      </c>
      <c r="I24" s="67">
        <v>16</v>
      </c>
      <c r="J24" s="67">
        <f>G18</f>
        <v>20.173265700047533</v>
      </c>
      <c r="K24" s="129">
        <f>J24*I24</f>
        <v>322.77225120076054</v>
      </c>
      <c r="L24" s="74" t="s">
        <v>5</v>
      </c>
      <c r="M24" s="73" t="s">
        <v>80</v>
      </c>
      <c r="N24" s="67" t="s">
        <v>375</v>
      </c>
      <c r="O24" s="67">
        <v>2</v>
      </c>
      <c r="P24" s="67">
        <f>O12</f>
        <v>78.754250262768991</v>
      </c>
      <c r="Q24" s="129">
        <f>P24*O24</f>
        <v>157.50850052553798</v>
      </c>
      <c r="R24" s="74" t="s">
        <v>410</v>
      </c>
      <c r="S24" s="73" t="s">
        <v>80</v>
      </c>
      <c r="T24" s="67" t="s">
        <v>375</v>
      </c>
      <c r="U24" s="67">
        <v>2</v>
      </c>
      <c r="V24" s="67">
        <f>U12</f>
        <v>78.754250262768991</v>
      </c>
      <c r="W24" s="129">
        <f>V24*U24</f>
        <v>157.50850052553798</v>
      </c>
      <c r="X24" s="74" t="s">
        <v>410</v>
      </c>
    </row>
    <row r="25" spans="1:24">
      <c r="A25" s="73" t="s">
        <v>80</v>
      </c>
      <c r="B25" s="67" t="s">
        <v>297</v>
      </c>
      <c r="C25" s="67">
        <v>2</v>
      </c>
      <c r="D25" s="67">
        <f>C11</f>
        <v>141.91317047298421</v>
      </c>
      <c r="E25" s="129">
        <f>D25*C25</f>
        <v>283.82634094596841</v>
      </c>
      <c r="F25" s="74" t="s">
        <v>5</v>
      </c>
      <c r="G25" s="73" t="s">
        <v>80</v>
      </c>
      <c r="H25" s="67" t="s">
        <v>375</v>
      </c>
      <c r="I25" s="67">
        <v>2</v>
      </c>
      <c r="J25" s="67">
        <f>I12</f>
        <v>78.754250262768991</v>
      </c>
      <c r="K25" s="129">
        <f>J25*I25</f>
        <v>157.50850052553798</v>
      </c>
      <c r="L25" s="74" t="s">
        <v>5</v>
      </c>
      <c r="M25" s="73" t="s">
        <v>392</v>
      </c>
      <c r="N25" s="67" t="s">
        <v>375</v>
      </c>
      <c r="O25" s="67">
        <v>4</v>
      </c>
      <c r="P25" s="67">
        <f>0.42*0.5*0.015*2000</f>
        <v>6.2999999999999989</v>
      </c>
      <c r="Q25" s="9">
        <f>P25*O25</f>
        <v>25.199999999999996</v>
      </c>
      <c r="R25" s="74" t="s">
        <v>393</v>
      </c>
      <c r="S25" s="73" t="s">
        <v>392</v>
      </c>
      <c r="T25" s="67" t="s">
        <v>375</v>
      </c>
      <c r="U25" s="67">
        <v>4</v>
      </c>
      <c r="V25" s="67">
        <f>0.42*0.42*0.015*2000</f>
        <v>5.2919999999999989</v>
      </c>
      <c r="W25" s="9">
        <f>V25*U25</f>
        <v>21.167999999999996</v>
      </c>
      <c r="X25" s="74" t="s">
        <v>393</v>
      </c>
    </row>
    <row r="26" spans="1:24">
      <c r="A26" s="73" t="s">
        <v>392</v>
      </c>
      <c r="B26" s="67" t="s">
        <v>365</v>
      </c>
      <c r="C26" s="67">
        <v>4</v>
      </c>
      <c r="D26" s="67">
        <f>(0.42*0.7+(PI()*0.42^2/8))*0.03*2700</f>
        <v>29.425041558944049</v>
      </c>
      <c r="E26" s="129">
        <f>D26*C26</f>
        <v>117.70016623577619</v>
      </c>
      <c r="F26" s="74" t="s">
        <v>393</v>
      </c>
      <c r="G26" s="73" t="s">
        <v>392</v>
      </c>
      <c r="H26" s="67" t="s">
        <v>375</v>
      </c>
      <c r="I26" s="67">
        <v>4</v>
      </c>
      <c r="J26" s="67">
        <f>0.42*0.5*0.015*2000</f>
        <v>6.2999999999999989</v>
      </c>
      <c r="K26" s="9">
        <f>J26*I26</f>
        <v>25.199999999999996</v>
      </c>
      <c r="L26" s="74" t="s">
        <v>393</v>
      </c>
      <c r="M26" s="44" t="s">
        <v>125</v>
      </c>
      <c r="N26" s="9" t="s">
        <v>126</v>
      </c>
      <c r="O26" s="9">
        <v>4</v>
      </c>
      <c r="P26">
        <v>15</v>
      </c>
      <c r="Q26" s="67">
        <f>P26*O26</f>
        <v>60</v>
      </c>
      <c r="R26" s="74" t="s">
        <v>393</v>
      </c>
      <c r="S26" s="44" t="s">
        <v>125</v>
      </c>
      <c r="T26" s="9" t="s">
        <v>126</v>
      </c>
      <c r="U26" s="9">
        <v>4</v>
      </c>
      <c r="V26">
        <v>15</v>
      </c>
      <c r="W26" s="67">
        <f>V26*U26</f>
        <v>60</v>
      </c>
      <c r="X26" s="74" t="s">
        <v>393</v>
      </c>
    </row>
    <row r="27" spans="1:24">
      <c r="A27" s="73" t="s">
        <v>32</v>
      </c>
      <c r="B27" s="67"/>
      <c r="C27" s="67"/>
      <c r="D27" s="67"/>
      <c r="E27" s="67">
        <f>SUM(E22:E26)</f>
        <v>903.70113004365555</v>
      </c>
      <c r="F27" s="74" t="s">
        <v>31</v>
      </c>
      <c r="G27" s="73" t="s">
        <v>32</v>
      </c>
      <c r="H27" s="67"/>
      <c r="I27" s="67"/>
      <c r="J27" s="67"/>
      <c r="K27" s="67">
        <f>SUM(K22:K26)</f>
        <v>694.31963505461704</v>
      </c>
      <c r="L27" s="74" t="s">
        <v>31</v>
      </c>
      <c r="M27" s="73" t="s">
        <v>334</v>
      </c>
      <c r="N27" s="67"/>
      <c r="O27" s="67"/>
      <c r="P27" s="67"/>
      <c r="Q27" s="67">
        <f>SUM(Q21:Q26)</f>
        <v>605.6309681734615</v>
      </c>
      <c r="R27" s="74" t="s">
        <v>410</v>
      </c>
      <c r="S27" s="73" t="s">
        <v>334</v>
      </c>
      <c r="T27" s="67"/>
      <c r="U27" s="67"/>
      <c r="V27" s="67"/>
      <c r="W27" s="67">
        <f>SUM(W21:W26)</f>
        <v>482.31947521373206</v>
      </c>
      <c r="X27" s="74" t="s">
        <v>410</v>
      </c>
    </row>
    <row r="28" spans="1:24">
      <c r="A28" s="75"/>
      <c r="B28" s="76"/>
      <c r="C28" s="76"/>
      <c r="D28" s="76"/>
      <c r="E28" s="76"/>
      <c r="F28" s="77"/>
      <c r="G28" s="75"/>
      <c r="H28" s="76"/>
      <c r="I28" s="76"/>
      <c r="J28" s="76"/>
      <c r="K28" s="76"/>
      <c r="L28" s="77"/>
      <c r="M28" s="75"/>
      <c r="N28" s="76"/>
      <c r="O28" s="76"/>
      <c r="P28" s="76"/>
      <c r="Q28" s="76"/>
      <c r="R28" s="77"/>
      <c r="S28" s="75"/>
      <c r="T28" s="76"/>
      <c r="U28" s="76"/>
      <c r="V28" s="76"/>
      <c r="W28" s="76"/>
      <c r="X28" s="77"/>
    </row>
    <row r="30" spans="1:24">
      <c r="A30" t="s">
        <v>165</v>
      </c>
      <c r="G30" t="s">
        <v>420</v>
      </c>
      <c r="M30" t="s">
        <v>376</v>
      </c>
    </row>
    <row r="31" spans="1:24">
      <c r="A31" s="70"/>
      <c r="B31" s="71"/>
      <c r="C31" s="71"/>
      <c r="D31" s="71"/>
      <c r="E31" s="71"/>
      <c r="F31" s="72"/>
      <c r="G31" s="70"/>
      <c r="H31" s="71"/>
      <c r="I31" s="71"/>
      <c r="J31" s="71"/>
      <c r="K31" s="71"/>
      <c r="L31" s="72"/>
      <c r="M31" s="70"/>
      <c r="N31" s="71"/>
      <c r="O31" s="71"/>
      <c r="P31" s="71"/>
      <c r="Q31" s="71"/>
      <c r="R31" s="72"/>
    </row>
    <row r="32" spans="1:24">
      <c r="A32" s="73" t="s">
        <v>366</v>
      </c>
      <c r="B32" s="67" t="s">
        <v>77</v>
      </c>
      <c r="C32" s="67">
        <f>20*20</f>
        <v>400</v>
      </c>
      <c r="D32" s="170" t="s">
        <v>72</v>
      </c>
      <c r="E32" s="67"/>
      <c r="F32" s="74"/>
      <c r="G32" s="73" t="s">
        <v>366</v>
      </c>
      <c r="H32" s="67" t="s">
        <v>77</v>
      </c>
      <c r="I32" s="67">
        <f>20*20</f>
        <v>400</v>
      </c>
      <c r="J32" s="170" t="s">
        <v>72</v>
      </c>
      <c r="K32" s="67"/>
      <c r="L32" s="74"/>
      <c r="M32" s="73" t="s">
        <v>366</v>
      </c>
      <c r="N32" s="67" t="s">
        <v>77</v>
      </c>
      <c r="O32" s="67">
        <f>20*20</f>
        <v>400</v>
      </c>
      <c r="P32" s="171" t="s">
        <v>72</v>
      </c>
      <c r="Q32" s="67"/>
      <c r="R32" s="74"/>
    </row>
    <row r="33" spans="1:18">
      <c r="A33" s="73" t="s">
        <v>298</v>
      </c>
      <c r="B33" s="67" t="s">
        <v>78</v>
      </c>
      <c r="C33" s="67">
        <f>5.8*5.8*2</f>
        <v>67.28</v>
      </c>
      <c r="D33" s="170" t="s">
        <v>72</v>
      </c>
      <c r="E33" s="67"/>
      <c r="F33" s="74"/>
      <c r="G33" s="73" t="s">
        <v>298</v>
      </c>
      <c r="H33" s="67" t="s">
        <v>78</v>
      </c>
      <c r="I33" s="67">
        <f>5.8*5.8*2</f>
        <v>67.28</v>
      </c>
      <c r="J33" s="170" t="s">
        <v>72</v>
      </c>
      <c r="K33" s="67"/>
      <c r="L33" s="74"/>
      <c r="M33" s="73" t="s">
        <v>298</v>
      </c>
      <c r="N33" s="67" t="s">
        <v>78</v>
      </c>
      <c r="O33" s="67">
        <f>5.8*5.8*2</f>
        <v>67.28</v>
      </c>
      <c r="P33" s="171" t="s">
        <v>72</v>
      </c>
      <c r="Q33" s="67"/>
      <c r="R33" s="74"/>
    </row>
    <row r="34" spans="1:18">
      <c r="A34" s="73" t="s">
        <v>367</v>
      </c>
      <c r="B34" s="67" t="s">
        <v>79</v>
      </c>
      <c r="C34" s="67">
        <f>PI()*8^2/4</f>
        <v>50.26548245743669</v>
      </c>
      <c r="D34" s="170" t="s">
        <v>72</v>
      </c>
      <c r="E34" s="67"/>
      <c r="F34" s="74"/>
      <c r="G34" s="73" t="s">
        <v>367</v>
      </c>
      <c r="H34" s="67" t="s">
        <v>79</v>
      </c>
      <c r="I34" s="67">
        <f>PI()*8^2/4</f>
        <v>50.26548245743669</v>
      </c>
      <c r="J34" s="170" t="s">
        <v>72</v>
      </c>
      <c r="K34" s="67"/>
      <c r="L34" s="74"/>
      <c r="M34" s="73" t="s">
        <v>367</v>
      </c>
      <c r="N34" s="67" t="s">
        <v>79</v>
      </c>
      <c r="O34" s="67">
        <f>PI()*7.4^2/4</f>
        <v>43.008403427644275</v>
      </c>
      <c r="P34" s="171" t="s">
        <v>72</v>
      </c>
      <c r="Q34" s="67"/>
      <c r="R34" s="74"/>
    </row>
    <row r="35" spans="1:18">
      <c r="A35" s="73" t="s">
        <v>368</v>
      </c>
      <c r="B35" s="67"/>
      <c r="C35" s="67">
        <f>5.42*5.42-(4.41^2/2)</f>
        <v>19.652349999999998</v>
      </c>
      <c r="D35" s="170" t="s">
        <v>72</v>
      </c>
      <c r="E35" s="67"/>
      <c r="F35" s="74"/>
      <c r="G35" s="73" t="s">
        <v>368</v>
      </c>
      <c r="H35" s="67"/>
      <c r="I35" s="67">
        <f>5.42*5.42-(4.41^2/2)</f>
        <v>19.652349999999998</v>
      </c>
      <c r="J35" s="170" t="s">
        <v>72</v>
      </c>
      <c r="K35" s="67"/>
      <c r="L35" s="74"/>
      <c r="M35" s="73" t="s">
        <v>368</v>
      </c>
      <c r="N35" s="67"/>
      <c r="O35" s="67">
        <f>5.42*5.42-(4.41^2/2)</f>
        <v>19.652349999999998</v>
      </c>
      <c r="P35" s="171" t="s">
        <v>72</v>
      </c>
      <c r="Q35" s="67"/>
      <c r="R35" s="74"/>
    </row>
    <row r="36" spans="1:18">
      <c r="A36" s="44" t="s">
        <v>99</v>
      </c>
      <c r="B36" s="67"/>
      <c r="C36" s="67">
        <f>0.2*0.36*4</f>
        <v>0.28799999999999998</v>
      </c>
      <c r="D36" s="170" t="s">
        <v>72</v>
      </c>
      <c r="E36" s="67"/>
      <c r="F36" s="74"/>
      <c r="G36" s="44" t="s">
        <v>99</v>
      </c>
      <c r="H36" s="67"/>
      <c r="I36" s="67">
        <f>0.2*0.36*4</f>
        <v>0.28799999999999998</v>
      </c>
      <c r="J36" s="170" t="s">
        <v>72</v>
      </c>
      <c r="K36" s="67"/>
      <c r="L36" s="74"/>
      <c r="M36" s="44" t="s">
        <v>99</v>
      </c>
      <c r="N36" s="67"/>
      <c r="O36" s="67">
        <f>0.2*0.36*4</f>
        <v>0.28799999999999998</v>
      </c>
      <c r="P36" s="171" t="s">
        <v>72</v>
      </c>
      <c r="Q36" s="67"/>
      <c r="R36" s="74"/>
    </row>
    <row r="37" spans="1:18">
      <c r="A37" s="73" t="s">
        <v>369</v>
      </c>
      <c r="B37" s="67" t="s">
        <v>80</v>
      </c>
      <c r="C37" s="67">
        <f>(C32-C33-C34-C35-C36)/100</f>
        <v>2.6251416754256329</v>
      </c>
      <c r="D37" s="67" t="s">
        <v>74</v>
      </c>
      <c r="E37" s="67"/>
      <c r="F37" s="74"/>
      <c r="G37" s="73" t="s">
        <v>369</v>
      </c>
      <c r="H37" s="67" t="s">
        <v>80</v>
      </c>
      <c r="I37" s="67">
        <f>(I32-I33-I34-I35-I36)/100</f>
        <v>2.6251416754256329</v>
      </c>
      <c r="J37" s="67" t="s">
        <v>74</v>
      </c>
      <c r="K37" s="67"/>
      <c r="L37" s="74"/>
      <c r="M37" s="73" t="s">
        <v>369</v>
      </c>
      <c r="N37" s="67" t="s">
        <v>80</v>
      </c>
      <c r="O37" s="67">
        <f>(O32-O33-O34-O35-O36)/100</f>
        <v>2.6977124657235572</v>
      </c>
      <c r="P37" s="67" t="s">
        <v>74</v>
      </c>
      <c r="Q37" s="67"/>
      <c r="R37" s="74"/>
    </row>
    <row r="38" spans="1:18">
      <c r="A38" s="73" t="s">
        <v>370</v>
      </c>
      <c r="B38" s="67" t="s">
        <v>81</v>
      </c>
      <c r="C38" s="67">
        <f>C37*0.015</f>
        <v>3.9377125131384492E-2</v>
      </c>
      <c r="D38" s="67" t="s">
        <v>75</v>
      </c>
      <c r="E38" s="67"/>
      <c r="F38" s="74"/>
      <c r="G38" s="73" t="s">
        <v>370</v>
      </c>
      <c r="H38" s="67" t="s">
        <v>81</v>
      </c>
      <c r="I38" s="67">
        <f>I37*0.01</f>
        <v>2.6251416754256331E-2</v>
      </c>
      <c r="J38" s="67" t="s">
        <v>75</v>
      </c>
      <c r="K38" s="67"/>
      <c r="L38" s="74"/>
      <c r="M38" s="44" t="s">
        <v>377</v>
      </c>
      <c r="O38">
        <f>0.4*0.25*4</f>
        <v>0.4</v>
      </c>
      <c r="P38" s="67" t="s">
        <v>74</v>
      </c>
      <c r="R38" s="74"/>
    </row>
    <row r="39" spans="1:18">
      <c r="A39" s="73"/>
      <c r="B39" s="67"/>
      <c r="C39" s="67">
        <f>C38*1600</f>
        <v>63.00340021021519</v>
      </c>
      <c r="D39" s="67" t="s">
        <v>306</v>
      </c>
      <c r="E39" s="67" t="s">
        <v>361</v>
      </c>
      <c r="F39" s="74"/>
      <c r="G39" s="73"/>
      <c r="H39" s="67"/>
      <c r="I39" s="67">
        <f>I38*1600</f>
        <v>42.002266806810127</v>
      </c>
      <c r="J39" s="67" t="s">
        <v>306</v>
      </c>
      <c r="K39" s="67" t="s">
        <v>361</v>
      </c>
      <c r="L39" s="74"/>
      <c r="M39" s="73" t="s">
        <v>370</v>
      </c>
      <c r="N39" s="67" t="s">
        <v>81</v>
      </c>
      <c r="O39" s="67">
        <f>(O37+O38)*0.01</f>
        <v>3.097712465723557E-2</v>
      </c>
      <c r="P39" s="67" t="s">
        <v>75</v>
      </c>
      <c r="Q39" s="67"/>
      <c r="R39" s="74"/>
    </row>
    <row r="40" spans="1:18">
      <c r="A40" s="73"/>
      <c r="B40" s="67"/>
      <c r="C40" s="67"/>
      <c r="D40" s="67"/>
      <c r="E40" s="67"/>
      <c r="F40" s="74"/>
      <c r="G40" s="73"/>
      <c r="H40" s="67"/>
      <c r="I40" s="67"/>
      <c r="J40" s="67"/>
      <c r="K40" s="67"/>
      <c r="L40" s="74"/>
      <c r="M40" s="73"/>
      <c r="N40" s="67"/>
      <c r="O40" s="67">
        <f>O39*1600</f>
        <v>49.563399451576913</v>
      </c>
      <c r="P40" s="67" t="s">
        <v>306</v>
      </c>
      <c r="Q40" s="67" t="s">
        <v>361</v>
      </c>
      <c r="R40" s="74"/>
    </row>
    <row r="41" spans="1:18">
      <c r="A41" s="73">
        <f>0.42*0.29*0.05*0.85*1000</f>
        <v>5.1764999999999999</v>
      </c>
      <c r="B41" s="67" t="s">
        <v>306</v>
      </c>
      <c r="C41" s="67" t="s">
        <v>276</v>
      </c>
      <c r="D41" s="67"/>
      <c r="E41" s="67"/>
      <c r="F41" s="74"/>
      <c r="G41" s="73">
        <f>0.4*0.25*0.05*0.85*1000</f>
        <v>4.25</v>
      </c>
      <c r="H41" s="67" t="s">
        <v>306</v>
      </c>
      <c r="I41" s="67" t="s">
        <v>276</v>
      </c>
      <c r="J41" s="67"/>
      <c r="K41" s="67"/>
      <c r="L41" s="74"/>
      <c r="Q41" s="67"/>
      <c r="R41" s="74"/>
    </row>
    <row r="42" spans="1:18">
      <c r="A42" s="73">
        <f>PI()*0.18^2/4*0.05*0.85*1000</f>
        <v>1.0814932709982863</v>
      </c>
      <c r="B42" s="67" t="s">
        <v>306</v>
      </c>
      <c r="C42" s="67" t="s">
        <v>362</v>
      </c>
      <c r="D42" s="67"/>
      <c r="E42" s="67"/>
      <c r="F42" s="74"/>
      <c r="G42" s="73">
        <f>PI()*0.14^2/4*0.05*0.85*1000</f>
        <v>0.65423667011007447</v>
      </c>
      <c r="H42" s="67" t="s">
        <v>306</v>
      </c>
      <c r="I42" s="67" t="s">
        <v>421</v>
      </c>
      <c r="J42" s="67"/>
      <c r="K42" s="67"/>
      <c r="L42" s="74"/>
      <c r="M42" s="73">
        <f>0.4*0.25*0.05*0.85*1000</f>
        <v>4.25</v>
      </c>
      <c r="N42" s="67" t="s">
        <v>306</v>
      </c>
      <c r="O42" s="67" t="s">
        <v>276</v>
      </c>
      <c r="P42" s="67"/>
      <c r="Q42" s="67"/>
      <c r="R42" s="74"/>
    </row>
    <row r="43" spans="1:18">
      <c r="A43" s="73">
        <f>PI()*0.03^2/4*0.41*2*850</f>
        <v>0.49268026789921926</v>
      </c>
      <c r="B43" s="67" t="s">
        <v>164</v>
      </c>
      <c r="C43" s="67" t="s">
        <v>275</v>
      </c>
      <c r="D43" s="67"/>
      <c r="E43" s="67"/>
      <c r="F43" s="74"/>
      <c r="G43" s="73">
        <f>PI()*0.03^2/4*0.4*2*850</f>
        <v>0.48066367599923832</v>
      </c>
      <c r="H43" s="67" t="s">
        <v>5</v>
      </c>
      <c r="I43" s="67" t="s">
        <v>275</v>
      </c>
      <c r="J43" s="67"/>
      <c r="K43" s="67"/>
      <c r="L43" s="74"/>
      <c r="M43" s="73">
        <f>PI()*0.14^2/4*0.05*0.85*1000</f>
        <v>0.65423667011007447</v>
      </c>
      <c r="N43" s="67" t="s">
        <v>306</v>
      </c>
      <c r="O43" s="67" t="s">
        <v>421</v>
      </c>
      <c r="P43" s="67"/>
      <c r="Q43" s="67"/>
      <c r="R43" s="74"/>
    </row>
    <row r="44" spans="1:18">
      <c r="A44" s="73">
        <f>(A41-A42-A43)/2</f>
        <v>1.8011632305512473</v>
      </c>
      <c r="B44" s="67" t="s">
        <v>164</v>
      </c>
      <c r="C44" s="67" t="s">
        <v>23</v>
      </c>
      <c r="D44" s="67"/>
      <c r="E44" s="67"/>
      <c r="F44" s="74"/>
      <c r="G44" s="73">
        <f>(G41-G42-G43)/2</f>
        <v>1.5575498269453436</v>
      </c>
      <c r="H44" s="67" t="s">
        <v>5</v>
      </c>
      <c r="I44" s="67" t="s">
        <v>23</v>
      </c>
      <c r="J44" s="67"/>
      <c r="K44" s="67"/>
      <c r="L44" s="74"/>
      <c r="M44" s="73">
        <f>PI()*0.03^2/4*0.4*2*850</f>
        <v>0.48066367599923832</v>
      </c>
      <c r="N44" s="67" t="s">
        <v>5</v>
      </c>
      <c r="O44" s="67" t="s">
        <v>275</v>
      </c>
      <c r="P44" s="67"/>
      <c r="Q44" s="67"/>
      <c r="R44" s="74"/>
    </row>
    <row r="45" spans="1:18">
      <c r="A45" s="73">
        <f>PI()*0.16^2/8*0.05*0.85*1000</f>
        <v>0.42725660088821188</v>
      </c>
      <c r="B45" s="9" t="s">
        <v>222</v>
      </c>
      <c r="C45" s="9" t="s">
        <v>221</v>
      </c>
      <c r="D45" s="67"/>
      <c r="E45" s="67"/>
      <c r="F45" s="74"/>
      <c r="G45" s="73"/>
      <c r="H45" s="9"/>
      <c r="I45" s="9"/>
      <c r="J45" s="67"/>
      <c r="K45" s="67"/>
      <c r="L45" s="74"/>
      <c r="M45" s="73">
        <f>(M42-M43-M44)/2</f>
        <v>1.5575498269453436</v>
      </c>
      <c r="N45" s="67" t="s">
        <v>5</v>
      </c>
      <c r="O45" s="67" t="s">
        <v>23</v>
      </c>
      <c r="P45" s="67"/>
      <c r="Q45" s="67"/>
      <c r="R45" s="74"/>
    </row>
    <row r="46" spans="1:18">
      <c r="D46" s="67"/>
      <c r="E46" s="67"/>
      <c r="F46" s="74"/>
      <c r="J46" s="67"/>
      <c r="K46" s="67"/>
      <c r="L46" s="74"/>
      <c r="P46" s="67"/>
      <c r="Q46" s="67"/>
      <c r="R46" s="74"/>
    </row>
    <row r="47" spans="1:18">
      <c r="A47" s="73" t="s">
        <v>372</v>
      </c>
      <c r="B47" s="67"/>
      <c r="C47" s="67"/>
      <c r="D47" s="67"/>
      <c r="E47" s="67"/>
      <c r="F47" s="74"/>
      <c r="G47" s="73" t="s">
        <v>283</v>
      </c>
      <c r="H47" s="67"/>
      <c r="I47" s="67"/>
      <c r="J47" s="67"/>
      <c r="K47" s="67"/>
      <c r="L47" s="74"/>
      <c r="M47" s="73" t="s">
        <v>283</v>
      </c>
      <c r="N47" s="67"/>
      <c r="O47" s="67"/>
      <c r="P47" s="67"/>
      <c r="Q47" s="67"/>
      <c r="R47" s="74"/>
    </row>
    <row r="48" spans="1:18">
      <c r="A48" s="73" t="s">
        <v>359</v>
      </c>
      <c r="B48" s="67" t="s">
        <v>278</v>
      </c>
      <c r="C48" s="67">
        <v>4</v>
      </c>
      <c r="D48" s="67">
        <f>81*29.1/100</f>
        <v>23.570999999999998</v>
      </c>
      <c r="E48" s="67">
        <f>C48*D48</f>
        <v>94.283999999999992</v>
      </c>
      <c r="F48" s="74" t="s">
        <v>306</v>
      </c>
      <c r="G48" s="73" t="s">
        <v>422</v>
      </c>
      <c r="H48" s="67" t="s">
        <v>126</v>
      </c>
      <c r="I48" s="67">
        <v>4</v>
      </c>
      <c r="J48" s="67">
        <f>77.3*24.8/100</f>
        <v>19.170400000000001</v>
      </c>
      <c r="K48" s="67">
        <f>I48*J48</f>
        <v>76.681600000000003</v>
      </c>
      <c r="L48" s="74" t="s">
        <v>306</v>
      </c>
      <c r="M48" s="73" t="s">
        <v>422</v>
      </c>
      <c r="N48" s="67" t="s">
        <v>126</v>
      </c>
      <c r="O48" s="67">
        <v>4</v>
      </c>
      <c r="P48" s="67">
        <f>77.3*24.8/100</f>
        <v>19.170400000000001</v>
      </c>
      <c r="Q48" s="67">
        <f>O48*P48</f>
        <v>76.681600000000003</v>
      </c>
      <c r="R48" s="74" t="s">
        <v>306</v>
      </c>
    </row>
    <row r="49" spans="1:18">
      <c r="A49" s="73" t="s">
        <v>225</v>
      </c>
      <c r="B49" s="67" t="s">
        <v>279</v>
      </c>
      <c r="C49" s="67">
        <v>24</v>
      </c>
      <c r="D49" s="67">
        <f>PI()*0.0275^2/4*0.4*7.5*1000</f>
        <v>1.7818720832079611</v>
      </c>
      <c r="E49" s="9">
        <f t="shared" ref="E49:E55" si="0">D49*C49</f>
        <v>42.764929996991064</v>
      </c>
      <c r="F49" s="74" t="s">
        <v>306</v>
      </c>
      <c r="G49" s="73" t="s">
        <v>423</v>
      </c>
      <c r="H49" s="67" t="s">
        <v>279</v>
      </c>
      <c r="I49" s="67">
        <v>16</v>
      </c>
      <c r="J49" s="67">
        <f>PI()*0.0275^2/4*0.4*7.5*1000</f>
        <v>1.7818720832079611</v>
      </c>
      <c r="K49" s="9">
        <f t="shared" ref="K49:K51" si="1">J49*I49</f>
        <v>28.509953331327377</v>
      </c>
      <c r="L49" s="74" t="s">
        <v>306</v>
      </c>
      <c r="M49" s="73" t="s">
        <v>423</v>
      </c>
      <c r="N49" s="67" t="s">
        <v>279</v>
      </c>
      <c r="O49" s="67">
        <v>16</v>
      </c>
      <c r="P49" s="67">
        <f>PI()*0.0275^2/4*0.4*7.5*1000</f>
        <v>1.7818720832079611</v>
      </c>
      <c r="Q49" s="9">
        <f t="shared" ref="Q49:Q51" si="2">P49*O49</f>
        <v>28.509953331327377</v>
      </c>
      <c r="R49" s="74" t="s">
        <v>306</v>
      </c>
    </row>
    <row r="50" spans="1:18">
      <c r="A50" s="73" t="s">
        <v>226</v>
      </c>
      <c r="B50" s="67" t="s">
        <v>279</v>
      </c>
      <c r="C50">
        <v>8</v>
      </c>
      <c r="D50">
        <f>PI()*0.0275^2/4*0.25*7.5*1000</f>
        <v>1.1136700520049756</v>
      </c>
      <c r="E50" s="9">
        <f t="shared" si="0"/>
        <v>8.9093604160398048</v>
      </c>
      <c r="F50" s="74" t="s">
        <v>306</v>
      </c>
      <c r="G50" s="73" t="s">
        <v>226</v>
      </c>
      <c r="H50" s="67" t="s">
        <v>279</v>
      </c>
      <c r="I50">
        <v>8</v>
      </c>
      <c r="J50">
        <f>PI()*0.0275^2/4*0.15*7.5*1000</f>
        <v>0.66820203120298527</v>
      </c>
      <c r="K50" s="9">
        <f t="shared" si="1"/>
        <v>5.3456162496238822</v>
      </c>
      <c r="L50" s="74" t="s">
        <v>306</v>
      </c>
      <c r="M50" s="73" t="s">
        <v>226</v>
      </c>
      <c r="N50" s="67" t="s">
        <v>279</v>
      </c>
      <c r="O50">
        <v>8</v>
      </c>
      <c r="P50">
        <f>PI()*0.0275^2/4*0.15*7.5*1000</f>
        <v>0.66820203120298527</v>
      </c>
      <c r="Q50" s="9">
        <f t="shared" si="2"/>
        <v>5.3456162496238822</v>
      </c>
      <c r="R50" s="74" t="s">
        <v>306</v>
      </c>
    </row>
    <row r="51" spans="1:18">
      <c r="A51" s="73" t="s">
        <v>76</v>
      </c>
      <c r="B51" s="67" t="s">
        <v>379</v>
      </c>
      <c r="C51" s="67">
        <v>24</v>
      </c>
      <c r="D51" s="67">
        <f>A44</f>
        <v>1.8011632305512473</v>
      </c>
      <c r="E51" s="9">
        <f t="shared" si="0"/>
        <v>43.227917533229935</v>
      </c>
      <c r="F51" s="74" t="s">
        <v>306</v>
      </c>
      <c r="G51" s="73" t="s">
        <v>76</v>
      </c>
      <c r="H51" s="67" t="s">
        <v>379</v>
      </c>
      <c r="I51" s="67">
        <v>24</v>
      </c>
      <c r="J51" s="67">
        <f>G44</f>
        <v>1.5575498269453436</v>
      </c>
      <c r="K51" s="9">
        <f t="shared" si="1"/>
        <v>37.381195846688243</v>
      </c>
      <c r="L51" s="74" t="s">
        <v>306</v>
      </c>
      <c r="M51" s="73" t="s">
        <v>76</v>
      </c>
      <c r="N51" s="67" t="s">
        <v>379</v>
      </c>
      <c r="O51" s="67">
        <v>24</v>
      </c>
      <c r="P51" s="67">
        <f>M45</f>
        <v>1.5575498269453436</v>
      </c>
      <c r="Q51" s="9">
        <f t="shared" si="2"/>
        <v>37.381195846688243</v>
      </c>
      <c r="R51" s="74" t="s">
        <v>306</v>
      </c>
    </row>
    <row r="52" spans="1:18">
      <c r="A52" s="44" t="s">
        <v>223</v>
      </c>
      <c r="B52" s="9" t="s">
        <v>224</v>
      </c>
      <c r="C52" s="9">
        <v>8</v>
      </c>
      <c r="D52" s="67">
        <f>A45</f>
        <v>0.42725660088821188</v>
      </c>
      <c r="E52" s="9">
        <f t="shared" si="0"/>
        <v>3.418052807105695</v>
      </c>
      <c r="F52" s="74" t="s">
        <v>306</v>
      </c>
      <c r="G52" s="73" t="s">
        <v>71</v>
      </c>
      <c r="H52" s="67" t="s">
        <v>361</v>
      </c>
      <c r="I52" s="67">
        <v>2</v>
      </c>
      <c r="J52" s="67">
        <f>I39</f>
        <v>42.002266806810127</v>
      </c>
      <c r="K52" s="129">
        <f>J52*I52</f>
        <v>84.004533613620254</v>
      </c>
      <c r="L52" s="74" t="s">
        <v>306</v>
      </c>
      <c r="M52" s="73" t="s">
        <v>71</v>
      </c>
      <c r="N52" s="67" t="s">
        <v>361</v>
      </c>
      <c r="O52" s="67">
        <v>2</v>
      </c>
      <c r="P52" s="67">
        <f>O40</f>
        <v>49.563399451576913</v>
      </c>
      <c r="Q52" s="129">
        <f>P52*O52</f>
        <v>99.126798903153826</v>
      </c>
      <c r="R52" s="74" t="s">
        <v>306</v>
      </c>
    </row>
    <row r="53" spans="1:18">
      <c r="A53" s="73" t="s">
        <v>9</v>
      </c>
      <c r="B53" s="67" t="s">
        <v>361</v>
      </c>
      <c r="C53" s="67">
        <v>2</v>
      </c>
      <c r="D53" s="67">
        <f>C39</f>
        <v>63.00340021021519</v>
      </c>
      <c r="E53" s="129">
        <f t="shared" si="0"/>
        <v>126.00680042043038</v>
      </c>
      <c r="F53" s="74" t="s">
        <v>306</v>
      </c>
      <c r="G53" s="44" t="s">
        <v>70</v>
      </c>
      <c r="H53" s="67" t="s">
        <v>361</v>
      </c>
      <c r="I53" s="9">
        <v>8</v>
      </c>
      <c r="J53">
        <f>0.12*2*0.01*1600</f>
        <v>3.84</v>
      </c>
      <c r="K53" s="9">
        <f>J53*I53</f>
        <v>30.72</v>
      </c>
      <c r="L53" s="74" t="s">
        <v>306</v>
      </c>
      <c r="M53" s="44" t="s">
        <v>378</v>
      </c>
      <c r="N53" s="67" t="s">
        <v>361</v>
      </c>
      <c r="O53" s="9">
        <v>4</v>
      </c>
      <c r="P53">
        <f>0.25*0.4*0.01*1600</f>
        <v>1.6</v>
      </c>
      <c r="Q53" s="9">
        <f>P53*O53</f>
        <v>6.4</v>
      </c>
      <c r="R53" s="74" t="s">
        <v>306</v>
      </c>
    </row>
    <row r="54" spans="1:18">
      <c r="A54" s="73" t="s">
        <v>392</v>
      </c>
      <c r="B54" s="168" t="s">
        <v>360</v>
      </c>
      <c r="C54" s="67">
        <v>4</v>
      </c>
      <c r="D54" s="67">
        <f>((0.42*0.42)-(0.15*0.3))*0.015*1600</f>
        <v>3.1535999999999986</v>
      </c>
      <c r="E54" s="9">
        <f t="shared" si="0"/>
        <v>12.614399999999995</v>
      </c>
      <c r="F54" s="74" t="s">
        <v>306</v>
      </c>
      <c r="G54" s="73" t="s">
        <v>392</v>
      </c>
      <c r="H54" s="169" t="s">
        <v>360</v>
      </c>
      <c r="I54" s="67">
        <v>4</v>
      </c>
      <c r="J54" s="67">
        <f>((0.4*0.32)-(0.1*0.1))*0.015*1600</f>
        <v>2.8319999999999999</v>
      </c>
      <c r="K54" s="9">
        <f>J54*I54</f>
        <v>11.327999999999999</v>
      </c>
      <c r="L54" s="74" t="s">
        <v>306</v>
      </c>
      <c r="M54" s="73" t="s">
        <v>392</v>
      </c>
      <c r="N54" s="171" t="s">
        <v>360</v>
      </c>
      <c r="O54" s="67">
        <v>4</v>
      </c>
      <c r="P54" s="67">
        <f>((0.4*0.32)-(0.1*0.1))*0.015*1600</f>
        <v>2.8319999999999999</v>
      </c>
      <c r="Q54" s="9">
        <f>P54*O54</f>
        <v>11.327999999999999</v>
      </c>
      <c r="R54" s="74" t="s">
        <v>306</v>
      </c>
    </row>
    <row r="55" spans="1:18">
      <c r="A55" s="44" t="s">
        <v>125</v>
      </c>
      <c r="B55" s="9" t="s">
        <v>126</v>
      </c>
      <c r="C55" s="9">
        <v>4</v>
      </c>
      <c r="D55" s="67">
        <v>15</v>
      </c>
      <c r="E55" s="67">
        <f t="shared" si="0"/>
        <v>60</v>
      </c>
      <c r="F55" s="74" t="s">
        <v>306</v>
      </c>
      <c r="G55" s="44" t="s">
        <v>125</v>
      </c>
      <c r="H55" s="9" t="s">
        <v>126</v>
      </c>
      <c r="I55" s="9">
        <v>4</v>
      </c>
      <c r="J55" s="67">
        <v>15</v>
      </c>
      <c r="K55" s="67">
        <f>J55*I55</f>
        <v>60</v>
      </c>
      <c r="L55" s="74" t="s">
        <v>306</v>
      </c>
      <c r="M55" s="44" t="s">
        <v>125</v>
      </c>
      <c r="N55" s="9" t="s">
        <v>126</v>
      </c>
      <c r="O55" s="9">
        <v>4</v>
      </c>
      <c r="P55" s="67">
        <v>21</v>
      </c>
      <c r="Q55" s="67">
        <f>P55*O55</f>
        <v>84</v>
      </c>
      <c r="R55" s="74" t="s">
        <v>306</v>
      </c>
    </row>
    <row r="56" spans="1:18">
      <c r="A56" s="44" t="s">
        <v>363</v>
      </c>
      <c r="B56" s="9" t="s">
        <v>126</v>
      </c>
      <c r="C56" s="9">
        <v>1</v>
      </c>
      <c r="D56" s="67">
        <f>1.5*29</f>
        <v>43.5</v>
      </c>
      <c r="E56" s="67">
        <f t="shared" ref="E56" si="3">D56*C56</f>
        <v>43.5</v>
      </c>
      <c r="F56" s="74" t="s">
        <v>164</v>
      </c>
      <c r="G56" s="44" t="s">
        <v>363</v>
      </c>
      <c r="H56" s="9" t="s">
        <v>126</v>
      </c>
      <c r="I56" s="9">
        <v>1</v>
      </c>
      <c r="J56" s="67">
        <f>1.5*29</f>
        <v>43.5</v>
      </c>
      <c r="K56" s="67">
        <f>J56*I56</f>
        <v>43.5</v>
      </c>
      <c r="L56" s="74" t="s">
        <v>5</v>
      </c>
      <c r="M56" s="44" t="s">
        <v>363</v>
      </c>
      <c r="N56" s="9" t="s">
        <v>126</v>
      </c>
      <c r="O56" s="9">
        <v>1</v>
      </c>
      <c r="P56" s="67">
        <f>1.5*29</f>
        <v>43.5</v>
      </c>
      <c r="Q56" s="67">
        <f>P56*O56</f>
        <v>43.5</v>
      </c>
      <c r="R56" s="74" t="s">
        <v>5</v>
      </c>
    </row>
    <row r="57" spans="1:18">
      <c r="A57" s="75" t="s">
        <v>334</v>
      </c>
      <c r="B57" s="76"/>
      <c r="C57" s="76"/>
      <c r="D57" s="76"/>
      <c r="E57" s="76">
        <f>SUM(E48:E56)</f>
        <v>434.72546117379687</v>
      </c>
      <c r="F57" s="77" t="s">
        <v>306</v>
      </c>
      <c r="G57" s="75" t="s">
        <v>334</v>
      </c>
      <c r="H57" s="76"/>
      <c r="I57" s="76"/>
      <c r="J57" s="76"/>
      <c r="K57" s="76">
        <f>SUM(K48:K56)</f>
        <v>377.47089904125971</v>
      </c>
      <c r="L57" s="77" t="s">
        <v>306</v>
      </c>
      <c r="M57" s="75" t="s">
        <v>334</v>
      </c>
      <c r="N57" s="76"/>
      <c r="O57" s="76"/>
      <c r="P57" s="76"/>
      <c r="Q57" s="76">
        <f>SUM(Q48:Q56)</f>
        <v>392.27316433079335</v>
      </c>
      <c r="R57" s="77" t="s">
        <v>306</v>
      </c>
    </row>
    <row r="59" spans="1:18" ht="18">
      <c r="D59" s="160" t="s">
        <v>167</v>
      </c>
      <c r="E59" s="71"/>
      <c r="F59" s="71"/>
      <c r="G59" s="71"/>
      <c r="H59" s="71"/>
      <c r="I59" s="72"/>
    </row>
    <row r="60" spans="1:18">
      <c r="D60" s="70"/>
      <c r="E60" s="71">
        <f>U21</f>
        <v>4</v>
      </c>
      <c r="F60" s="71" t="s">
        <v>422</v>
      </c>
      <c r="G60" s="71" t="s">
        <v>278</v>
      </c>
      <c r="H60" s="71">
        <f t="shared" ref="H60:H66" si="4">Q48</f>
        <v>76.681600000000003</v>
      </c>
      <c r="I60" s="72" t="str">
        <f>X21</f>
        <v>grs</v>
      </c>
    </row>
    <row r="61" spans="1:18">
      <c r="D61" s="73"/>
      <c r="E61" s="67">
        <v>16</v>
      </c>
      <c r="F61" s="67" t="s">
        <v>227</v>
      </c>
      <c r="G61" s="67" t="s">
        <v>279</v>
      </c>
      <c r="H61" s="67">
        <f t="shared" si="4"/>
        <v>28.509953331327377</v>
      </c>
      <c r="I61" s="74" t="str">
        <f>X22</f>
        <v>grs</v>
      </c>
    </row>
    <row r="62" spans="1:18">
      <c r="D62" s="73"/>
      <c r="E62" s="67">
        <v>8</v>
      </c>
      <c r="F62" s="67" t="s">
        <v>228</v>
      </c>
      <c r="G62" s="67" t="s">
        <v>279</v>
      </c>
      <c r="H62" s="67">
        <f t="shared" si="4"/>
        <v>5.3456162496238822</v>
      </c>
      <c r="I62" s="74" t="str">
        <f>X23</f>
        <v>grs</v>
      </c>
    </row>
    <row r="63" spans="1:18">
      <c r="D63" s="73"/>
      <c r="E63" s="67">
        <v>24</v>
      </c>
      <c r="F63" s="67" t="s">
        <v>87</v>
      </c>
      <c r="G63" s="67" t="s">
        <v>379</v>
      </c>
      <c r="H63" s="67">
        <f t="shared" si="4"/>
        <v>37.381195846688243</v>
      </c>
      <c r="I63" s="74" t="str">
        <f>X23</f>
        <v>grs</v>
      </c>
    </row>
    <row r="64" spans="1:18">
      <c r="D64" s="73"/>
      <c r="E64" s="67">
        <f>U24</f>
        <v>2</v>
      </c>
      <c r="F64" s="67" t="s">
        <v>80</v>
      </c>
      <c r="G64" s="67" t="s">
        <v>361</v>
      </c>
      <c r="H64" s="67">
        <f t="shared" si="4"/>
        <v>99.126798903153826</v>
      </c>
      <c r="I64" s="74" t="str">
        <f>X24</f>
        <v>grs</v>
      </c>
    </row>
    <row r="65" spans="4:10">
      <c r="D65" s="73"/>
      <c r="E65" s="9">
        <v>8</v>
      </c>
      <c r="F65" s="9" t="s">
        <v>378</v>
      </c>
      <c r="G65" s="67" t="s">
        <v>361</v>
      </c>
      <c r="H65" s="9">
        <f t="shared" si="4"/>
        <v>6.4</v>
      </c>
      <c r="I65" s="74" t="str">
        <f>X25</f>
        <v>grs</v>
      </c>
    </row>
    <row r="66" spans="4:10">
      <c r="D66" s="73"/>
      <c r="E66" s="67">
        <f>U25</f>
        <v>4</v>
      </c>
      <c r="F66" s="67" t="s">
        <v>392</v>
      </c>
      <c r="G66" s="67" t="s">
        <v>375</v>
      </c>
      <c r="H66" s="67">
        <f t="shared" si="4"/>
        <v>11.327999999999999</v>
      </c>
      <c r="I66" s="74" t="str">
        <f>X25</f>
        <v>grs</v>
      </c>
    </row>
    <row r="67" spans="4:10">
      <c r="D67" s="73"/>
      <c r="E67" s="67">
        <v>4</v>
      </c>
      <c r="F67" s="9" t="s">
        <v>233</v>
      </c>
      <c r="G67" s="9" t="s">
        <v>88</v>
      </c>
      <c r="H67" s="9">
        <f>4*85</f>
        <v>340</v>
      </c>
      <c r="I67" s="74" t="str">
        <f>X26</f>
        <v>grs</v>
      </c>
      <c r="J67" s="67"/>
    </row>
    <row r="68" spans="4:10">
      <c r="D68" s="73"/>
      <c r="E68" s="67">
        <v>1</v>
      </c>
      <c r="F68" s="9" t="s">
        <v>89</v>
      </c>
      <c r="G68" s="67"/>
      <c r="H68" s="67">
        <v>1175</v>
      </c>
      <c r="I68" s="74" t="str">
        <f>X27</f>
        <v>grs</v>
      </c>
    </row>
    <row r="69" spans="4:10">
      <c r="D69" s="73"/>
      <c r="E69" s="67">
        <v>4</v>
      </c>
      <c r="F69" s="67" t="s">
        <v>382</v>
      </c>
      <c r="G69" s="67"/>
      <c r="H69" s="67">
        <v>100</v>
      </c>
      <c r="I69" s="74" t="s">
        <v>90</v>
      </c>
    </row>
    <row r="70" spans="4:10">
      <c r="D70" s="73"/>
      <c r="E70" s="67">
        <f>U26</f>
        <v>4</v>
      </c>
      <c r="F70" s="9" t="s">
        <v>125</v>
      </c>
      <c r="G70" s="9" t="s">
        <v>126</v>
      </c>
      <c r="H70" s="67">
        <v>84</v>
      </c>
      <c r="I70" s="74" t="str">
        <f>X26</f>
        <v>grs</v>
      </c>
    </row>
    <row r="71" spans="4:10">
      <c r="D71" s="73"/>
      <c r="E71" s="9">
        <v>1</v>
      </c>
      <c r="F71" s="9" t="s">
        <v>363</v>
      </c>
      <c r="G71" s="9" t="s">
        <v>126</v>
      </c>
      <c r="H71" s="67">
        <f>K56</f>
        <v>43.5</v>
      </c>
      <c r="I71" s="74" t="str">
        <f>X27</f>
        <v>grs</v>
      </c>
    </row>
    <row r="72" spans="4:10">
      <c r="D72" s="73"/>
      <c r="E72" s="67">
        <v>1</v>
      </c>
      <c r="F72" s="67" t="s">
        <v>3</v>
      </c>
      <c r="G72" s="67" t="s">
        <v>148</v>
      </c>
      <c r="H72" s="67">
        <v>39</v>
      </c>
      <c r="I72" s="74" t="s">
        <v>5</v>
      </c>
    </row>
    <row r="73" spans="4:10">
      <c r="D73" s="75"/>
      <c r="E73" s="76">
        <v>1</v>
      </c>
      <c r="F73" s="76" t="s">
        <v>4</v>
      </c>
      <c r="G73" s="76" t="s">
        <v>147</v>
      </c>
      <c r="H73" s="76">
        <v>18</v>
      </c>
      <c r="I73" s="77" t="s">
        <v>5</v>
      </c>
    </row>
    <row r="74" spans="4:10">
      <c r="D74" s="67"/>
      <c r="E74" s="67"/>
      <c r="F74" s="74"/>
      <c r="G74" s="75" t="s">
        <v>149</v>
      </c>
      <c r="H74" s="76">
        <f>INT(SUM(H60:H73)+0.5)</f>
        <v>2064</v>
      </c>
      <c r="I74" s="77" t="s">
        <v>5</v>
      </c>
    </row>
  </sheetData>
  <phoneticPr fontId="1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K189"/>
  <sheetViews>
    <sheetView tabSelected="1" topLeftCell="A36" workbookViewId="0">
      <selection activeCell="E105" sqref="E105"/>
    </sheetView>
  </sheetViews>
  <sheetFormatPr baseColWidth="10" defaultRowHeight="15"/>
  <sheetData>
    <row r="1" spans="5:36">
      <c r="E1" s="152" t="s">
        <v>202</v>
      </c>
      <c r="F1" s="90"/>
      <c r="G1" s="90"/>
      <c r="H1" s="90"/>
      <c r="I1" s="136" t="s">
        <v>240</v>
      </c>
      <c r="J1" s="136"/>
      <c r="K1" s="91"/>
    </row>
    <row r="2" spans="5:36">
      <c r="E2" s="134" t="s">
        <v>311</v>
      </c>
      <c r="F2" s="67"/>
      <c r="G2" s="67"/>
      <c r="H2" s="67"/>
      <c r="I2" s="67">
        <v>6000</v>
      </c>
      <c r="J2" s="67">
        <v>481</v>
      </c>
      <c r="K2" s="74" t="s">
        <v>31</v>
      </c>
    </row>
    <row r="3" spans="5:36">
      <c r="E3" s="73"/>
      <c r="F3" s="67"/>
      <c r="G3" s="67"/>
      <c r="H3" s="67"/>
      <c r="I3" s="67"/>
      <c r="J3" s="67"/>
      <c r="K3" s="74"/>
      <c r="AC3" s="161" t="s">
        <v>150</v>
      </c>
      <c r="AD3" s="151"/>
    </row>
    <row r="4" spans="5:36">
      <c r="E4" s="134" t="s">
        <v>354</v>
      </c>
      <c r="F4" s="67"/>
      <c r="G4" s="67"/>
      <c r="H4" s="67"/>
      <c r="I4" s="67">
        <v>2500</v>
      </c>
      <c r="J4" s="67">
        <v>246</v>
      </c>
      <c r="K4" s="74"/>
      <c r="AC4" s="133" t="s">
        <v>151</v>
      </c>
      <c r="AD4" s="71"/>
      <c r="AE4" s="71"/>
      <c r="AF4" s="71"/>
      <c r="AG4" s="71">
        <v>815</v>
      </c>
      <c r="AH4" s="72" t="s">
        <v>5</v>
      </c>
    </row>
    <row r="5" spans="5:36">
      <c r="E5" s="134" t="s">
        <v>355</v>
      </c>
      <c r="F5" s="67"/>
      <c r="G5" s="67"/>
      <c r="H5" s="67"/>
      <c r="I5" s="67">
        <v>3700</v>
      </c>
      <c r="J5" s="67">
        <v>366</v>
      </c>
      <c r="K5" s="74"/>
      <c r="AC5" s="73" t="s">
        <v>3</v>
      </c>
      <c r="AD5" s="67" t="s">
        <v>148</v>
      </c>
      <c r="AE5" s="67"/>
      <c r="AF5" s="67"/>
      <c r="AG5" s="67">
        <v>39</v>
      </c>
      <c r="AH5" s="74" t="s">
        <v>5</v>
      </c>
    </row>
    <row r="6" spans="5:36">
      <c r="E6" s="134" t="s">
        <v>356</v>
      </c>
      <c r="F6" s="67"/>
      <c r="G6" s="67"/>
      <c r="H6" s="67"/>
      <c r="I6" s="9">
        <v>4000</v>
      </c>
      <c r="J6" s="67">
        <v>437</v>
      </c>
      <c r="K6" s="74"/>
      <c r="AC6" s="75" t="s">
        <v>4</v>
      </c>
      <c r="AD6" s="76" t="s">
        <v>147</v>
      </c>
      <c r="AE6" s="76"/>
      <c r="AF6" s="76"/>
      <c r="AG6" s="76">
        <v>18</v>
      </c>
      <c r="AH6" s="77" t="s">
        <v>5</v>
      </c>
    </row>
    <row r="7" spans="5:36">
      <c r="E7" s="134" t="s">
        <v>309</v>
      </c>
      <c r="F7" s="67"/>
      <c r="G7" s="67"/>
      <c r="H7" s="67"/>
      <c r="I7" s="9">
        <v>5800</v>
      </c>
      <c r="J7" s="67">
        <v>624</v>
      </c>
      <c r="K7" s="74" t="s">
        <v>31</v>
      </c>
      <c r="AC7" s="71"/>
      <c r="AD7" s="71"/>
      <c r="AE7" s="72"/>
      <c r="AF7" s="161" t="s">
        <v>149</v>
      </c>
      <c r="AG7" s="150">
        <f>SUM(AG4:AG6)</f>
        <v>872</v>
      </c>
      <c r="AH7" s="151" t="s">
        <v>5</v>
      </c>
    </row>
    <row r="8" spans="5:36">
      <c r="E8" s="73"/>
      <c r="F8" s="67"/>
      <c r="G8" s="67"/>
      <c r="H8" s="67"/>
      <c r="I8" s="67"/>
      <c r="J8" s="67"/>
      <c r="K8" s="74"/>
    </row>
    <row r="9" spans="5:36">
      <c r="E9" s="134" t="s">
        <v>267</v>
      </c>
      <c r="F9" s="67"/>
      <c r="G9" s="67"/>
      <c r="H9" s="67"/>
      <c r="I9" s="9">
        <v>5800</v>
      </c>
      <c r="J9" s="67">
        <v>655</v>
      </c>
      <c r="K9" s="74" t="s">
        <v>31</v>
      </c>
    </row>
    <row r="10" spans="5:36">
      <c r="E10" s="134" t="s">
        <v>308</v>
      </c>
      <c r="F10" s="67"/>
      <c r="G10" s="67"/>
      <c r="H10" s="67"/>
      <c r="I10" s="9">
        <v>8000</v>
      </c>
      <c r="J10" s="67">
        <v>924</v>
      </c>
      <c r="K10" s="74" t="s">
        <v>31</v>
      </c>
      <c r="AC10" s="136" t="s">
        <v>30</v>
      </c>
      <c r="AD10" s="153" t="str">
        <f>E19</f>
        <v>Turnigy nano-tech 8000mAh 6S 25~50C Lipo Pack</v>
      </c>
      <c r="AE10" s="150"/>
      <c r="AF10" s="150"/>
      <c r="AG10" s="150"/>
      <c r="AH10" s="150">
        <f>I19</f>
        <v>8000</v>
      </c>
      <c r="AI10" s="150">
        <f>J19</f>
        <v>1105</v>
      </c>
      <c r="AJ10" s="151" t="s">
        <v>31</v>
      </c>
    </row>
    <row r="11" spans="5:36">
      <c r="E11" s="73"/>
      <c r="F11" s="67"/>
      <c r="G11" s="67"/>
      <c r="H11" s="67"/>
      <c r="I11" s="67"/>
      <c r="J11" s="67"/>
      <c r="K11" s="74"/>
    </row>
    <row r="12" spans="5:36">
      <c r="E12" s="134" t="s">
        <v>315</v>
      </c>
      <c r="F12" s="67"/>
      <c r="G12" s="67"/>
      <c r="H12" s="67"/>
      <c r="I12" s="9">
        <v>2650</v>
      </c>
      <c r="J12" s="67">
        <v>376</v>
      </c>
      <c r="K12" s="74" t="s">
        <v>31</v>
      </c>
      <c r="AD12" s="155"/>
      <c r="AE12" s="71"/>
      <c r="AF12" s="12" t="s">
        <v>197</v>
      </c>
      <c r="AG12" s="12" t="s">
        <v>198</v>
      </c>
      <c r="AH12" s="71"/>
      <c r="AI12" s="72"/>
    </row>
    <row r="13" spans="5:36">
      <c r="E13" s="134" t="s">
        <v>316</v>
      </c>
      <c r="F13" s="67"/>
      <c r="G13" s="67"/>
      <c r="H13" s="67"/>
      <c r="I13" s="9">
        <v>3000</v>
      </c>
      <c r="J13" s="67">
        <v>429</v>
      </c>
      <c r="K13" s="74" t="s">
        <v>31</v>
      </c>
      <c r="AD13" s="44" t="s">
        <v>196</v>
      </c>
      <c r="AE13" s="67"/>
      <c r="AF13" s="67">
        <f>AG7+AF15+(6*(AF14+AF16))</f>
        <v>2685</v>
      </c>
      <c r="AG13" s="9">
        <f>AF13+1200</f>
        <v>3885</v>
      </c>
      <c r="AH13" s="67"/>
      <c r="AI13" s="74"/>
    </row>
    <row r="14" spans="5:36">
      <c r="E14" s="134" t="s">
        <v>312</v>
      </c>
      <c r="F14" s="67"/>
      <c r="G14" s="67"/>
      <c r="H14" s="67"/>
      <c r="I14" s="9">
        <v>3300</v>
      </c>
      <c r="J14" s="67">
        <v>489</v>
      </c>
      <c r="K14" s="74" t="s">
        <v>31</v>
      </c>
      <c r="AD14" s="44" t="s">
        <v>50</v>
      </c>
      <c r="AE14" s="67"/>
      <c r="AF14" s="9">
        <v>85</v>
      </c>
      <c r="AG14" s="9"/>
      <c r="AH14" s="67"/>
      <c r="AI14" s="74"/>
    </row>
    <row r="15" spans="5:36">
      <c r="E15" s="134" t="s">
        <v>353</v>
      </c>
      <c r="F15" s="67"/>
      <c r="G15" s="67"/>
      <c r="H15" s="67"/>
      <c r="I15" s="9">
        <v>4000</v>
      </c>
      <c r="J15" s="67">
        <v>650</v>
      </c>
      <c r="K15" s="74" t="s">
        <v>31</v>
      </c>
      <c r="AD15" s="134" t="s">
        <v>200</v>
      </c>
      <c r="AE15" s="67"/>
      <c r="AF15" s="67">
        <f>AI10</f>
        <v>1105</v>
      </c>
      <c r="AG15" s="67">
        <v>22.2</v>
      </c>
      <c r="AH15" s="67" t="s">
        <v>108</v>
      </c>
      <c r="AI15" s="74"/>
    </row>
    <row r="16" spans="5:36">
      <c r="E16" s="134" t="s">
        <v>131</v>
      </c>
      <c r="F16" s="67"/>
      <c r="G16" s="67"/>
      <c r="H16" s="67"/>
      <c r="I16" s="9">
        <v>5800</v>
      </c>
      <c r="J16" s="67">
        <v>843</v>
      </c>
      <c r="K16" s="74" t="s">
        <v>31</v>
      </c>
      <c r="AD16" s="134" t="s">
        <v>146</v>
      </c>
      <c r="AE16" s="67"/>
      <c r="AF16" s="67">
        <v>33</v>
      </c>
      <c r="AG16" s="67"/>
      <c r="AH16" s="67"/>
      <c r="AI16" s="74"/>
    </row>
    <row r="17" spans="5:36">
      <c r="E17" s="134" t="s">
        <v>132</v>
      </c>
      <c r="F17" s="67"/>
      <c r="G17" s="67"/>
      <c r="H17" s="67"/>
      <c r="I17" s="9">
        <v>6000</v>
      </c>
      <c r="J17" s="67">
        <v>908</v>
      </c>
      <c r="K17" s="74" t="s">
        <v>31</v>
      </c>
      <c r="AD17" s="44" t="s">
        <v>51</v>
      </c>
      <c r="AE17" s="67"/>
      <c r="AF17" s="9">
        <f>AF13/4</f>
        <v>671.25</v>
      </c>
      <c r="AG17" s="9">
        <f>AF17+(1200/4)</f>
        <v>971.25</v>
      </c>
      <c r="AH17" s="67">
        <f>AG13*1.63/4</f>
        <v>1583.1374999999998</v>
      </c>
      <c r="AI17" s="74" t="s">
        <v>410</v>
      </c>
    </row>
    <row r="18" spans="5:36">
      <c r="E18" s="134" t="s">
        <v>307</v>
      </c>
      <c r="F18" s="67"/>
      <c r="G18" s="67"/>
      <c r="H18" s="67"/>
      <c r="I18" s="9">
        <v>5800</v>
      </c>
      <c r="J18" s="67">
        <v>929</v>
      </c>
      <c r="K18" s="74" t="s">
        <v>31</v>
      </c>
      <c r="AD18" s="156" t="s">
        <v>152</v>
      </c>
      <c r="AE18" s="76"/>
      <c r="AF18" s="136">
        <f>AH10</f>
        <v>8000</v>
      </c>
      <c r="AG18" s="76" t="s">
        <v>240</v>
      </c>
      <c r="AH18" s="76"/>
      <c r="AI18" s="77"/>
    </row>
    <row r="19" spans="5:36" ht="16">
      <c r="E19" s="135" t="s">
        <v>54</v>
      </c>
      <c r="F19" s="76"/>
      <c r="G19" s="76"/>
      <c r="H19" s="76"/>
      <c r="I19" s="76">
        <v>8000</v>
      </c>
      <c r="J19" s="17">
        <v>1105</v>
      </c>
      <c r="K19" s="77" t="s">
        <v>31</v>
      </c>
      <c r="AD19" s="82" t="s">
        <v>230</v>
      </c>
      <c r="AE19" s="83"/>
      <c r="AF19" s="83"/>
      <c r="AG19" s="83"/>
      <c r="AH19" s="83"/>
      <c r="AI19" s="83"/>
      <c r="AJ19" s="84"/>
    </row>
    <row r="20" spans="5:36" ht="16">
      <c r="E20" s="172" t="s">
        <v>305</v>
      </c>
      <c r="I20" s="9">
        <v>10000</v>
      </c>
      <c r="J20">
        <f>4*442</f>
        <v>1768</v>
      </c>
      <c r="K20" s="15" t="s">
        <v>31</v>
      </c>
      <c r="AD20" s="126" t="str">
        <f>AD10</f>
        <v>Turnigy nano-tech 8000mAh 6S 25~50C Lipo Pack</v>
      </c>
      <c r="AE20" s="123"/>
      <c r="AF20" s="123"/>
      <c r="AG20" s="123"/>
      <c r="AH20" s="86"/>
      <c r="AI20" s="86"/>
      <c r="AJ20" s="87"/>
    </row>
    <row r="21" spans="5:36">
      <c r="E21" s="172" t="s">
        <v>7</v>
      </c>
      <c r="I21">
        <v>9000</v>
      </c>
      <c r="J21">
        <f>4*391</f>
        <v>1564</v>
      </c>
      <c r="K21" t="s">
        <v>6</v>
      </c>
      <c r="AD21" s="11" t="s">
        <v>108</v>
      </c>
      <c r="AE21" s="12" t="s">
        <v>428</v>
      </c>
      <c r="AF21" s="12" t="s">
        <v>112</v>
      </c>
      <c r="AG21" s="157" t="s">
        <v>118</v>
      </c>
      <c r="AH21" s="71" t="s">
        <v>201</v>
      </c>
      <c r="AI21" s="71">
        <f>AI10</f>
        <v>1105</v>
      </c>
      <c r="AJ21" s="72" t="s">
        <v>31</v>
      </c>
    </row>
    <row r="22" spans="5:36">
      <c r="E22" s="172" t="s">
        <v>173</v>
      </c>
      <c r="I22">
        <v>8400</v>
      </c>
      <c r="J22">
        <f>2*641</f>
        <v>1282</v>
      </c>
      <c r="K22" t="s">
        <v>5</v>
      </c>
      <c r="AD22" s="158">
        <f>E189</f>
        <v>24.74</v>
      </c>
      <c r="AE22" s="159">
        <f>D189</f>
        <v>1503.8644174565898</v>
      </c>
      <c r="AF22" s="129">
        <f>L189</f>
        <v>6.8907922877690684</v>
      </c>
      <c r="AG22" s="159">
        <f>O189*4/6</f>
        <v>5.8947245240111821</v>
      </c>
      <c r="AH22" s="67"/>
      <c r="AI22" s="67">
        <f>AH10/4000</f>
        <v>2</v>
      </c>
      <c r="AJ22" s="132" t="s">
        <v>394</v>
      </c>
    </row>
    <row r="23" spans="5:36">
      <c r="AD23" s="14" t="e">
        <f>INDEX(D77:O189,MATCH(AH17,D77:D189,1)+1,2)</f>
        <v>#REF!</v>
      </c>
      <c r="AE23" s="42" t="e">
        <f>INDEX(D77:O189,MATCH(AH17,D77:D189,1)+1,1)</f>
        <v>#REF!</v>
      </c>
      <c r="AF23" s="67" t="e">
        <f>INDEX(D77:O189,MATCH(AH17,D77:D189,1)+1,9)</f>
        <v>#REF!</v>
      </c>
      <c r="AG23" s="42" t="e">
        <f>INDEX(D77:O189,MATCH(AH17,D77:D189,1)+1,12)*4/6</f>
        <v>#REF!</v>
      </c>
      <c r="AH23" s="67"/>
      <c r="AI23" s="67"/>
      <c r="AJ23" s="74"/>
    </row>
    <row r="24" spans="5:36">
      <c r="E24" s="172" t="s">
        <v>28</v>
      </c>
      <c r="AD24" s="14">
        <f>INDEX(D77:O189,MATCH(AG17,D77:D189,1)+1,2)</f>
        <v>18.899999999999999</v>
      </c>
      <c r="AE24" s="42">
        <f>INDEX(D77:O189,MATCH(AG17,D77:D189,1)+1,1)</f>
        <v>977.55263830693207</v>
      </c>
      <c r="AF24" s="67">
        <f>INDEX(D77:O189,MATCH(AG17,D77:D189,1)+1,9)</f>
        <v>8.9112351654049089</v>
      </c>
      <c r="AG24" s="42">
        <f>INDEX(D77:O189,MATCH(AG17,D77:D189,1)+1,12)*4/6</f>
        <v>8.9590693916270912</v>
      </c>
      <c r="AH24" s="67"/>
      <c r="AI24" s="67"/>
      <c r="AJ24" s="74"/>
    </row>
    <row r="25" spans="5:36">
      <c r="E25" s="172" t="s">
        <v>172</v>
      </c>
      <c r="K25" t="s">
        <v>27</v>
      </c>
      <c r="AD25" s="16">
        <f>INDEX(D63:O189,MATCH(AF17,D63:D189,1)+1,2)</f>
        <v>15.1</v>
      </c>
      <c r="AE25" s="43">
        <f>INDEX(D63:O189,MATCH(AF17,D63:D189,1)+1,1)</f>
        <v>674.81243845590893</v>
      </c>
      <c r="AF25" s="76">
        <f>INDEX(D63:O189,MATCH(AF17,D63:D189,1)+1,9)</f>
        <v>10.983997922146235</v>
      </c>
      <c r="AG25" s="43">
        <f>INDEX(D63:O189,MATCH(AF17,D63:D189,1)+1,12)*4/6</f>
        <v>12.780788671003052</v>
      </c>
      <c r="AH25" s="76"/>
      <c r="AI25" s="76"/>
      <c r="AJ25" s="77"/>
    </row>
    <row r="26" spans="5:36">
      <c r="E26" s="172"/>
    </row>
    <row r="27" spans="5:36">
      <c r="E27" s="172" t="s">
        <v>300</v>
      </c>
      <c r="K27" t="s">
        <v>301</v>
      </c>
    </row>
    <row r="28" spans="5:36">
      <c r="E28" s="172" t="s">
        <v>171</v>
      </c>
      <c r="K28" t="s">
        <v>15</v>
      </c>
    </row>
    <row r="31" spans="5:36" ht="18">
      <c r="E31" s="160" t="s">
        <v>371</v>
      </c>
      <c r="F31" s="71"/>
      <c r="G31" s="71"/>
      <c r="H31" s="71"/>
      <c r="I31" s="71"/>
      <c r="J31" s="72"/>
    </row>
    <row r="32" spans="5:36">
      <c r="E32" s="73" t="s">
        <v>49</v>
      </c>
      <c r="F32" s="105" t="s">
        <v>283</v>
      </c>
      <c r="G32" s="67"/>
      <c r="H32" s="67"/>
      <c r="I32" s="67">
        <f>'machine perso'!Q57</f>
        <v>392.27316433079335</v>
      </c>
      <c r="J32" s="74" t="s">
        <v>5</v>
      </c>
    </row>
    <row r="33" spans="1:37">
      <c r="E33" s="73" t="s">
        <v>3</v>
      </c>
      <c r="F33" s="67" t="s">
        <v>148</v>
      </c>
      <c r="G33" s="67"/>
      <c r="H33" s="67"/>
      <c r="I33" s="67">
        <v>39</v>
      </c>
      <c r="J33" s="74" t="s">
        <v>5</v>
      </c>
    </row>
    <row r="34" spans="1:37">
      <c r="E34" s="73" t="s">
        <v>4</v>
      </c>
      <c r="F34" s="67" t="s">
        <v>147</v>
      </c>
      <c r="G34" s="67"/>
      <c r="H34" s="67"/>
      <c r="I34" s="67">
        <v>18</v>
      </c>
      <c r="J34" s="74" t="s">
        <v>5</v>
      </c>
    </row>
    <row r="35" spans="1:37">
      <c r="D35" s="67"/>
      <c r="E35" s="71"/>
      <c r="F35" s="71"/>
      <c r="G35" s="72"/>
      <c r="H35" s="161" t="s">
        <v>149</v>
      </c>
      <c r="I35" s="150">
        <f>SUM(I32:I34)</f>
        <v>449.27316433079335</v>
      </c>
      <c r="J35" s="151" t="s">
        <v>5</v>
      </c>
    </row>
    <row r="36" spans="1:37">
      <c r="E36" s="67"/>
      <c r="F36" s="67"/>
      <c r="G36" s="67"/>
    </row>
    <row r="40" spans="1:37">
      <c r="A40" s="136" t="s">
        <v>30</v>
      </c>
      <c r="B40" s="153" t="str">
        <f>E19</f>
        <v>Turnigy nano-tech 8000mAh 6S 25~50C Lipo Pack</v>
      </c>
      <c r="C40" s="150"/>
      <c r="D40" s="150"/>
      <c r="E40" s="150"/>
      <c r="F40" s="150">
        <f>I19</f>
        <v>8000</v>
      </c>
      <c r="G40" s="154">
        <f>J19</f>
        <v>1105</v>
      </c>
      <c r="H40" s="151" t="s">
        <v>31</v>
      </c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</row>
    <row r="41" spans="1:37"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</row>
    <row r="42" spans="1:37">
      <c r="B42" s="155"/>
      <c r="C42" s="71"/>
      <c r="D42" s="12" t="s">
        <v>197</v>
      </c>
      <c r="E42" s="12" t="s">
        <v>198</v>
      </c>
      <c r="F42" s="71"/>
      <c r="G42" s="72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</row>
    <row r="43" spans="1:37">
      <c r="B43" s="44" t="s">
        <v>196</v>
      </c>
      <c r="C43" s="67"/>
      <c r="D43" s="67">
        <f>I35+D45+(4*(D44+D46))</f>
        <v>2140.2731643307934</v>
      </c>
      <c r="E43" s="9">
        <f>D43+1200</f>
        <v>3340.2731643307934</v>
      </c>
      <c r="F43" s="67"/>
      <c r="G43" s="74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</row>
    <row r="44" spans="1:37">
      <c r="B44" s="44" t="s">
        <v>50</v>
      </c>
      <c r="C44" s="67"/>
      <c r="D44" s="9">
        <v>104</v>
      </c>
      <c r="E44" s="9"/>
      <c r="F44" s="67"/>
      <c r="G44" s="74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</row>
    <row r="45" spans="1:37" ht="18">
      <c r="B45" s="134" t="s">
        <v>200</v>
      </c>
      <c r="C45" s="67"/>
      <c r="D45" s="67">
        <v>1175</v>
      </c>
      <c r="E45" s="67">
        <v>22.2</v>
      </c>
      <c r="F45" s="67" t="s">
        <v>108</v>
      </c>
      <c r="G45" s="74"/>
      <c r="J45" s="36"/>
      <c r="K45" s="36"/>
      <c r="L45" s="185" t="s">
        <v>86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</row>
    <row r="46" spans="1:37" ht="16">
      <c r="B46" s="134" t="s">
        <v>381</v>
      </c>
      <c r="C46" s="67"/>
      <c r="D46" s="67">
        <v>25</v>
      </c>
      <c r="E46" s="67"/>
      <c r="F46" s="67"/>
      <c r="G46" s="74"/>
      <c r="J46" s="36"/>
      <c r="K46" s="36"/>
      <c r="L46" s="82" t="s">
        <v>230</v>
      </c>
      <c r="M46" s="83"/>
      <c r="N46" s="83"/>
      <c r="O46" s="83"/>
      <c r="P46" s="83"/>
      <c r="Q46" s="83"/>
      <c r="R46" s="84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</row>
    <row r="47" spans="1:37" ht="16">
      <c r="B47" s="44" t="s">
        <v>51</v>
      </c>
      <c r="C47" s="67"/>
      <c r="D47" s="9">
        <f>D43/4</f>
        <v>535.06829108269835</v>
      </c>
      <c r="E47" s="9">
        <f>D47+(1200/4)</f>
        <v>835.06829108269835</v>
      </c>
      <c r="F47" s="67">
        <f>E43*1.63/4</f>
        <v>1361.1613144647981</v>
      </c>
      <c r="G47" s="74" t="s">
        <v>410</v>
      </c>
      <c r="J47" s="36"/>
      <c r="K47" s="36"/>
      <c r="L47" s="126" t="str">
        <f>B40</f>
        <v>Turnigy nano-tech 8000mAh 6S 25~50C Lipo Pack</v>
      </c>
      <c r="M47" s="123"/>
      <c r="N47" s="123"/>
      <c r="O47" s="123"/>
      <c r="P47" s="123"/>
      <c r="Q47" s="123"/>
      <c r="R47" s="124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8" spans="1:37">
      <c r="B48" s="156" t="s">
        <v>152</v>
      </c>
      <c r="C48" s="76"/>
      <c r="D48" s="136">
        <f>F40</f>
        <v>8000</v>
      </c>
      <c r="E48" s="76" t="s">
        <v>53</v>
      </c>
      <c r="F48" s="76"/>
      <c r="G48" s="77"/>
      <c r="J48" s="36"/>
      <c r="K48" s="36"/>
      <c r="L48" s="155" t="s">
        <v>82</v>
      </c>
      <c r="M48" s="71" t="s">
        <v>83</v>
      </c>
      <c r="N48" s="71" t="s">
        <v>84</v>
      </c>
      <c r="O48" s="180" t="s">
        <v>264</v>
      </c>
      <c r="P48" s="71" t="s">
        <v>85</v>
      </c>
      <c r="Q48" s="12" t="s">
        <v>112</v>
      </c>
      <c r="R48" s="157" t="s">
        <v>118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</row>
    <row r="49" spans="1:37" ht="16">
      <c r="B49" s="82" t="s">
        <v>230</v>
      </c>
      <c r="C49" s="83"/>
      <c r="D49" s="83"/>
      <c r="E49" s="83"/>
      <c r="F49" s="83"/>
      <c r="G49" s="83"/>
      <c r="H49" s="84"/>
      <c r="J49" s="36"/>
      <c r="K49" s="174"/>
      <c r="L49" s="158">
        <v>1500</v>
      </c>
      <c r="M49" s="129">
        <v>212</v>
      </c>
      <c r="N49" s="129">
        <f>M49/O49</f>
        <v>8.6849651782056529</v>
      </c>
      <c r="O49" s="129">
        <v>24.41</v>
      </c>
      <c r="P49" s="129">
        <v>6720</v>
      </c>
      <c r="Q49" s="129">
        <f>L49/M49</f>
        <v>7.0754716981132075</v>
      </c>
      <c r="R49" s="181">
        <f>0.65*60*O$58/(N49*1000)</f>
        <v>8.981037735849057</v>
      </c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174"/>
      <c r="AD49" s="36"/>
      <c r="AE49" s="36"/>
      <c r="AF49" s="36"/>
      <c r="AG49" s="36"/>
      <c r="AH49" s="36"/>
      <c r="AI49" s="36"/>
      <c r="AJ49" s="36"/>
      <c r="AK49" s="36"/>
    </row>
    <row r="50" spans="1:37" ht="16">
      <c r="B50" s="126" t="str">
        <f>B40</f>
        <v>Turnigy nano-tech 8000mAh 6S 25~50C Lipo Pack</v>
      </c>
      <c r="C50" s="123"/>
      <c r="D50" s="123"/>
      <c r="E50" s="123"/>
      <c r="F50" s="86"/>
      <c r="G50" s="86"/>
      <c r="H50" s="87"/>
      <c r="J50" s="36"/>
      <c r="K50" s="174"/>
      <c r="L50" s="178">
        <v>1300</v>
      </c>
      <c r="M50" s="67">
        <v>176.6</v>
      </c>
      <c r="N50" s="67">
        <f>M50/O50</f>
        <v>7.1964140179299108</v>
      </c>
      <c r="O50" s="96">
        <v>24.54</v>
      </c>
      <c r="P50" s="67">
        <v>6180</v>
      </c>
      <c r="Q50" s="67">
        <f>L50/M50</f>
        <v>7.3612684031710085</v>
      </c>
      <c r="R50" s="182">
        <f>0.65*60*O$58/(N50*1000)</f>
        <v>10.838731596828991</v>
      </c>
      <c r="S50" s="36"/>
      <c r="T50" s="36"/>
      <c r="U50" s="36"/>
      <c r="V50" s="177"/>
      <c r="W50" s="177"/>
      <c r="X50" s="177"/>
      <c r="Y50" s="177"/>
      <c r="Z50" s="36"/>
      <c r="AA50" s="36"/>
      <c r="AB50" s="36"/>
      <c r="AC50" s="174"/>
      <c r="AD50" s="177"/>
      <c r="AE50" s="177"/>
      <c r="AF50" s="177"/>
      <c r="AG50" s="177"/>
      <c r="AH50" s="177"/>
      <c r="AI50" s="36"/>
      <c r="AJ50" s="36"/>
      <c r="AK50" s="36"/>
    </row>
    <row r="51" spans="1:37">
      <c r="B51" s="11" t="s">
        <v>108</v>
      </c>
      <c r="C51" s="12" t="s">
        <v>25</v>
      </c>
      <c r="D51" s="12" t="s">
        <v>112</v>
      </c>
      <c r="E51" s="157" t="s">
        <v>118</v>
      </c>
      <c r="F51" s="71" t="s">
        <v>153</v>
      </c>
      <c r="G51" s="67">
        <f>G40</f>
        <v>1105</v>
      </c>
      <c r="H51" s="72" t="s">
        <v>154</v>
      </c>
      <c r="J51" s="36"/>
      <c r="K51" s="36"/>
      <c r="L51" s="178">
        <v>800</v>
      </c>
      <c r="M51" s="67">
        <v>89</v>
      </c>
      <c r="N51" s="67">
        <f>M51/O51</f>
        <v>3.5974130962004853</v>
      </c>
      <c r="O51" s="96">
        <v>24.74</v>
      </c>
      <c r="P51" s="67">
        <v>4920</v>
      </c>
      <c r="Q51" s="67">
        <f>L51/M51</f>
        <v>8.9887640449438209</v>
      </c>
      <c r="R51" s="182">
        <f>0.65*60*O$58/(N51*1000)</f>
        <v>21.682247191011236</v>
      </c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</row>
    <row r="52" spans="1:37">
      <c r="B52" s="158">
        <f>E189</f>
        <v>24.74</v>
      </c>
      <c r="C52" s="159">
        <f>D189</f>
        <v>1503.8644174565898</v>
      </c>
      <c r="D52" s="129">
        <f>L189</f>
        <v>6.8907922877690684</v>
      </c>
      <c r="E52" s="159">
        <f>O189</f>
        <v>8.8420867860167736</v>
      </c>
      <c r="G52" s="67">
        <f>F40/4000</f>
        <v>2</v>
      </c>
      <c r="H52" s="132" t="s">
        <v>394</v>
      </c>
      <c r="J52" s="36"/>
      <c r="K52" s="36"/>
      <c r="L52" s="179">
        <v>500</v>
      </c>
      <c r="M52" s="76">
        <v>52</v>
      </c>
      <c r="N52" s="76">
        <f>M52/O52</f>
        <v>2.0950846091861401</v>
      </c>
      <c r="O52" s="183">
        <v>24.82</v>
      </c>
      <c r="P52" s="76">
        <v>4260</v>
      </c>
      <c r="Q52" s="76">
        <f>L52/M52</f>
        <v>9.615384615384615</v>
      </c>
      <c r="R52" s="184">
        <f>0.65*60*O$58/(N52*1000)</f>
        <v>37.229999999999997</v>
      </c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</row>
    <row r="53" spans="1:37">
      <c r="B53" s="14">
        <f>INDEX(D63:O189,MATCH(F47,D63:D189,1)+1,2)</f>
        <v>23.3</v>
      </c>
      <c r="C53" s="42">
        <f>INDEX(D63:O189,MATCH(F47,D63:D189,1)+1,1)</f>
        <v>1368.0728930161229</v>
      </c>
      <c r="D53" s="67">
        <f>INDEX(D63:O189,MATCH(F47,D63:D189,1)+1,9)</f>
        <v>7.3002327835941276</v>
      </c>
      <c r="E53" s="42">
        <f>INDEX(D63:O189,MATCH(F47,D63:D189,1)+1,12)</f>
        <v>9.6979065433084415</v>
      </c>
      <c r="F53" s="67"/>
      <c r="G53" s="67"/>
      <c r="H53" s="74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</row>
    <row r="54" spans="1:37">
      <c r="B54" s="14">
        <f>INDEX(D63:O189,MATCH(E47,D63:D189,1)+1,2)</f>
        <v>17.2</v>
      </c>
      <c r="C54" s="42">
        <f>INDEX(D63:O189,MATCH(E47,D63:D189,1)+1,1)</f>
        <v>837.74457137507852</v>
      </c>
      <c r="D54" s="67">
        <f>INDEX(D63:O189,MATCH(E47,D63:D189,1)+1,9)</f>
        <v>9.7360092722784302</v>
      </c>
      <c r="E54" s="42">
        <f>INDEX(D63:O189,MATCH(E47,D63:D189,1)+1,12)</f>
        <v>15.591661809576374</v>
      </c>
      <c r="F54" s="67"/>
      <c r="G54" s="172">
        <v>592.72727272727275</v>
      </c>
      <c r="H54" s="74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</row>
    <row r="55" spans="1:37">
      <c r="B55" s="16">
        <f>INDEX(D63:O189,MATCH(D47,D63:D189,1)+1,2)</f>
        <v>13.2</v>
      </c>
      <c r="C55" s="43">
        <f>INDEX(D63:O189,MATCH(D47,D63:D189,1)+1,1)</f>
        <v>537.73307556056363</v>
      </c>
      <c r="D55" s="76">
        <f>INDEX(D63:O189,MATCH(D47,D63:D189,1)+1,9)</f>
        <v>12.409522798459797</v>
      </c>
      <c r="E55" s="43">
        <f>INDEX(D63:O189,MATCH(D47,D63:D189,1)+1,12)</f>
        <v>23.760570539528175</v>
      </c>
      <c r="F55" s="76"/>
      <c r="G55" s="76"/>
      <c r="H55" s="77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</row>
    <row r="56" spans="1:37">
      <c r="AB56" s="36"/>
      <c r="AC56" s="36"/>
      <c r="AD56" s="36"/>
      <c r="AE56" s="36"/>
      <c r="AF56" s="36"/>
      <c r="AG56" s="36"/>
      <c r="AH56" s="36"/>
      <c r="AI56" s="36"/>
      <c r="AJ56" s="36"/>
      <c r="AK56" s="36"/>
    </row>
    <row r="57" spans="1:37" ht="17">
      <c r="O57" s="172" t="s">
        <v>413</v>
      </c>
      <c r="P57" s="172"/>
      <c r="Y57" s="7" t="s">
        <v>16</v>
      </c>
      <c r="AD57" s="67"/>
      <c r="AE57" s="67"/>
      <c r="AF57" s="67"/>
      <c r="AG57" s="67"/>
      <c r="AH57" s="67"/>
      <c r="AI57" s="67"/>
      <c r="AJ57" s="67"/>
      <c r="AK57" s="67"/>
    </row>
    <row r="58" spans="1:37">
      <c r="O58" s="172">
        <f>D48/4</f>
        <v>2000</v>
      </c>
      <c r="U58" s="7">
        <f>($B$69*$B$66^2+$B$63*(($B$67/$B$66)-$B$66*$B$69))/2</f>
        <v>28.84</v>
      </c>
      <c r="Z58" s="67"/>
      <c r="AA58" s="67"/>
      <c r="AB58" s="67"/>
      <c r="AC58" s="67"/>
      <c r="AD58" s="67"/>
      <c r="AE58" s="67"/>
      <c r="AF58" s="67"/>
      <c r="AG58" s="67"/>
    </row>
    <row r="59" spans="1:37" ht="16">
      <c r="C59" s="4" t="s">
        <v>111</v>
      </c>
      <c r="D59" s="2"/>
      <c r="E59" s="2"/>
      <c r="F59" s="2"/>
      <c r="G59" s="2"/>
      <c r="H59" s="2"/>
      <c r="I59" s="2"/>
      <c r="J59" s="2"/>
      <c r="L59" s="2"/>
      <c r="M59" s="2"/>
      <c r="N59" s="2"/>
      <c r="O59" s="172" t="s">
        <v>412</v>
      </c>
      <c r="U59" t="s">
        <v>33</v>
      </c>
      <c r="Z59" s="67"/>
      <c r="AA59" s="67"/>
      <c r="AB59" s="67"/>
      <c r="AC59" s="67"/>
      <c r="AD59" s="67"/>
      <c r="AE59" s="67"/>
      <c r="AF59" s="67"/>
      <c r="AG59" s="67"/>
    </row>
    <row r="60" spans="1:37" ht="16">
      <c r="C60" s="4">
        <v>1.46</v>
      </c>
      <c r="D60" s="2"/>
      <c r="E60" s="2"/>
      <c r="F60" s="2"/>
      <c r="G60" s="2"/>
      <c r="H60" s="2"/>
      <c r="I60" s="2"/>
      <c r="J60" s="2"/>
      <c r="M60" s="2" t="s">
        <v>113</v>
      </c>
      <c r="N60" s="2" t="s">
        <v>113</v>
      </c>
      <c r="O60" s="172" t="s">
        <v>415</v>
      </c>
      <c r="U60" s="31" t="s">
        <v>22</v>
      </c>
      <c r="Z60" s="67"/>
      <c r="AA60" s="67"/>
      <c r="AB60" s="67"/>
      <c r="AC60" s="67"/>
      <c r="AD60" s="67"/>
      <c r="AE60" s="67"/>
      <c r="AF60" s="67"/>
      <c r="AG60" s="67"/>
    </row>
    <row r="61" spans="1:37">
      <c r="A61" s="5" t="s">
        <v>261</v>
      </c>
      <c r="B61" s="5">
        <v>13</v>
      </c>
      <c r="D61" s="2" t="s">
        <v>25</v>
      </c>
      <c r="E61" s="11" t="s">
        <v>108</v>
      </c>
      <c r="F61" s="12" t="s">
        <v>342</v>
      </c>
      <c r="G61" s="12" t="s">
        <v>262</v>
      </c>
      <c r="H61" s="12" t="s">
        <v>127</v>
      </c>
      <c r="I61" s="12" t="s">
        <v>48</v>
      </c>
      <c r="J61" s="13" t="s">
        <v>43</v>
      </c>
      <c r="K61" s="2" t="s">
        <v>24</v>
      </c>
      <c r="L61" s="9" t="s">
        <v>112</v>
      </c>
      <c r="M61" s="9" t="s">
        <v>1</v>
      </c>
      <c r="N61" s="9" t="s">
        <v>252</v>
      </c>
      <c r="O61" s="172" t="s">
        <v>118</v>
      </c>
      <c r="P61" t="s">
        <v>269</v>
      </c>
      <c r="Z61" s="67"/>
      <c r="AA61" s="67"/>
      <c r="AB61" s="67"/>
      <c r="AC61" s="67"/>
      <c r="AD61" s="67"/>
      <c r="AE61" s="67"/>
      <c r="AF61" s="67"/>
      <c r="AG61" s="67"/>
    </row>
    <row r="62" spans="1:37">
      <c r="A62" s="5" t="s">
        <v>143</v>
      </c>
      <c r="B62" s="5">
        <v>4</v>
      </c>
      <c r="D62" s="164">
        <f>$C$60*0.6*((0.6*3.1416*($B$61*0.0254)^2*K62^2)^(1/3))/9.81*1000</f>
        <v>1503.8644174565898</v>
      </c>
      <c r="E62" s="35">
        <v>24.74</v>
      </c>
      <c r="F62" s="9">
        <f t="shared" ref="F62:F125" si="0">(0.5+(0.00000036*$B$65*$B$68^3*($B$62*0.0254)*($B$61*0.0254)^4)*($B$69+$B$70)*$E62-(0.25-(0.00000036*$B$65*$B$68^3*($B$62*0.0254)*($B$61*0.0254)^4)*(($B$69+$B$70)^2*$B$63-($B$69+$B$70)*$E62))^(1/2))/((0.00000036*$B$65*$B$68^3*($B$62*0.0254)*($B$61*0.0254)^4)*($B$69+$B$70)^2)</f>
        <v>8.8214470054006124</v>
      </c>
      <c r="G62" s="36">
        <f t="shared" ref="G62:G125" si="1">E62*F62</f>
        <v>218.24259891361115</v>
      </c>
      <c r="H62" s="36">
        <f>(E62-($B$69+$B$70)*F62)*(F62-$B$63)</f>
        <v>152.45168861920209</v>
      </c>
      <c r="I62" s="9">
        <f t="shared" ref="I62:I125" si="2">H62/G62*100</f>
        <v>69.854230740511099</v>
      </c>
      <c r="J62" s="37">
        <f>$B$68*(E62-(F62*($B$69+$B$70)))</f>
        <v>6896.3085343150078</v>
      </c>
      <c r="K62" s="38">
        <f>(($B$61*0.0254)^4)*($B$62*0.0254)*(J62^3)*2*$B$65*0.00000018</f>
        <v>152.4516886192022</v>
      </c>
      <c r="L62" s="2">
        <f t="shared" ref="L62:L125" si="3">D62/G62</f>
        <v>6.8907922877690684</v>
      </c>
      <c r="M62" s="38">
        <f>1.30652287/($B$61*0.0254)*POWER(D62*0.00981,3/2)</f>
        <v>224.21077712201981</v>
      </c>
      <c r="N62" s="38">
        <f t="shared" ref="N62:N125" si="4">POWER(J62/$B$64,3)*100</f>
        <v>177.10282245178303</v>
      </c>
      <c r="O62" s="38">
        <f t="shared" ref="O62:O125" si="5">0.65*60*O$58/(F62*1000)</f>
        <v>8.8420867860167736</v>
      </c>
      <c r="P62" s="33">
        <f t="shared" ref="P62:P93" si="6">($B$69*$B$63+SQRT($B$69^2*$B$63^2+4*$B$69*($U$58-(E62*$B$63))))/(2*$B$69)</f>
        <v>10.077975746613136</v>
      </c>
      <c r="Z62" s="67"/>
      <c r="AA62" s="67"/>
      <c r="AB62" s="67"/>
      <c r="AC62" s="67"/>
      <c r="AD62" s="67"/>
      <c r="AE62" s="67"/>
      <c r="AF62" s="67"/>
      <c r="AG62" s="67"/>
    </row>
    <row r="63" spans="1:37">
      <c r="A63" s="10" t="s">
        <v>63</v>
      </c>
      <c r="B63" s="5">
        <v>0.2</v>
      </c>
      <c r="D63" s="63">
        <f t="shared" ref="D63:D125" si="7">$C$60*0.6*((0.6*3.1416*($B$61*0.0254)^2*K63^2)^(1/3))/9.81*1000</f>
        <v>456.75631191746339</v>
      </c>
      <c r="E63" s="162">
        <v>12</v>
      </c>
      <c r="F63" s="9">
        <f t="shared" si="0"/>
        <v>2.8185208532552561</v>
      </c>
      <c r="G63" s="36">
        <f t="shared" si="1"/>
        <v>33.822250239063074</v>
      </c>
      <c r="H63" s="36">
        <f t="shared" ref="H63:H125" si="8">(E63-($B$69+$B$70)*F63)*(F63-$B$63)</f>
        <v>25.517965735396125</v>
      </c>
      <c r="I63" s="36">
        <f t="shared" si="2"/>
        <v>75.447273776965034</v>
      </c>
      <c r="J63" s="37">
        <f t="shared" ref="J63:J125" si="9">$B$68*(E63-(F63*($B$69+$B$70)))</f>
        <v>3800.6214937843602</v>
      </c>
      <c r="K63" s="38">
        <f t="shared" ref="K63:K125" si="10">(($B$61*0.0254)^4)*($B$62*0.0254)*(J63^3)*2*$B$65*0.00000018</f>
        <v>25.517965735396107</v>
      </c>
      <c r="L63" s="38">
        <f t="shared" si="3"/>
        <v>13.50461038780713</v>
      </c>
      <c r="M63" s="38">
        <f t="shared" ref="M63:M125" si="11">1.30652287/($B$61*0.0254)*POWER(D63*0.00981,3/2)</f>
        <v>37.52928537510207</v>
      </c>
      <c r="N63" s="38">
        <f t="shared" si="4"/>
        <v>29.644169873742594</v>
      </c>
      <c r="O63" s="38">
        <f t="shared" si="5"/>
        <v>27.674090085199744</v>
      </c>
      <c r="P63" s="34">
        <f t="shared" si="6"/>
        <v>10.596507355623901</v>
      </c>
    </row>
    <row r="64" spans="1:37">
      <c r="A64" s="4" t="s">
        <v>14</v>
      </c>
      <c r="B64" s="4">
        <v>5700</v>
      </c>
      <c r="D64" s="65">
        <f t="shared" si="7"/>
        <v>463.32833948869143</v>
      </c>
      <c r="E64" s="162">
        <v>12.1</v>
      </c>
      <c r="F64" s="9">
        <f t="shared" si="0"/>
        <v>2.8561973796532927</v>
      </c>
      <c r="G64" s="36">
        <f t="shared" si="1"/>
        <v>34.559988293804842</v>
      </c>
      <c r="H64" s="36">
        <f t="shared" si="8"/>
        <v>26.070689097318695</v>
      </c>
      <c r="I64" s="9">
        <f t="shared" si="2"/>
        <v>75.436047245398157</v>
      </c>
      <c r="J64" s="37">
        <f t="shared" si="9"/>
        <v>3827.8664175481722</v>
      </c>
      <c r="K64" s="38">
        <f t="shared" si="10"/>
        <v>26.070689097318695</v>
      </c>
      <c r="L64" s="2">
        <f t="shared" si="3"/>
        <v>13.406495845710307</v>
      </c>
      <c r="M64" s="38">
        <f t="shared" si="11"/>
        <v>38.342175908703886</v>
      </c>
      <c r="N64" s="38">
        <f t="shared" si="4"/>
        <v>30.286267500329316</v>
      </c>
      <c r="O64" s="38">
        <f t="shared" si="5"/>
        <v>27.309037027920056</v>
      </c>
      <c r="P64" s="34">
        <f t="shared" si="6"/>
        <v>10.59253703035321</v>
      </c>
      <c r="R64" s="9"/>
      <c r="S64" s="173"/>
      <c r="T64" s="9"/>
      <c r="U64" s="9"/>
      <c r="V64" s="9"/>
      <c r="W64" s="9"/>
      <c r="X64" s="9"/>
      <c r="Y64" s="9"/>
    </row>
    <row r="65" spans="1:25">
      <c r="A65" s="4" t="s">
        <v>110</v>
      </c>
      <c r="B65" s="4">
        <v>1.069</v>
      </c>
      <c r="D65" s="65">
        <f t="shared" si="7"/>
        <v>469.93305580305304</v>
      </c>
      <c r="E65" s="162">
        <v>12.2</v>
      </c>
      <c r="F65" s="9">
        <f t="shared" si="0"/>
        <v>2.8940613061010461</v>
      </c>
      <c r="G65" s="36">
        <f t="shared" si="1"/>
        <v>35.307547934432762</v>
      </c>
      <c r="H65" s="36">
        <f t="shared" si="8"/>
        <v>26.630125068631891</v>
      </c>
      <c r="I65" s="9">
        <f t="shared" si="2"/>
        <v>75.423320583136729</v>
      </c>
      <c r="J65" s="37">
        <f t="shared" si="9"/>
        <v>3855.0528724964734</v>
      </c>
      <c r="K65" s="38">
        <f t="shared" si="10"/>
        <v>26.630125068631916</v>
      </c>
      <c r="L65" s="2">
        <f t="shared" si="3"/>
        <v>13.309705241375971</v>
      </c>
      <c r="M65" s="38">
        <f t="shared" si="11"/>
        <v>39.164938680400411</v>
      </c>
      <c r="N65" s="38">
        <f t="shared" si="4"/>
        <v>30.936163151850138</v>
      </c>
      <c r="O65" s="38">
        <f t="shared" si="5"/>
        <v>26.951744192690793</v>
      </c>
      <c r="P65" s="34">
        <f t="shared" si="6"/>
        <v>10.588565202161828</v>
      </c>
      <c r="R65" s="9"/>
      <c r="S65" s="9"/>
      <c r="T65" s="9"/>
      <c r="U65" s="9"/>
      <c r="V65" s="9"/>
      <c r="W65" s="9"/>
      <c r="X65" s="9"/>
      <c r="Y65" s="9"/>
    </row>
    <row r="66" spans="1:25">
      <c r="A66" s="5" t="s">
        <v>269</v>
      </c>
      <c r="B66" s="5">
        <v>15</v>
      </c>
      <c r="D66" s="65">
        <f t="shared" si="7"/>
        <v>476.57025130501796</v>
      </c>
      <c r="E66" s="162">
        <v>12.3</v>
      </c>
      <c r="F66" s="9">
        <f t="shared" si="0"/>
        <v>2.9321114312456049</v>
      </c>
      <c r="G66" s="36">
        <f t="shared" si="1"/>
        <v>36.064970604320941</v>
      </c>
      <c r="H66" s="36">
        <f t="shared" si="8"/>
        <v>27.196286477127316</v>
      </c>
      <c r="I66" s="36">
        <f t="shared" si="2"/>
        <v>75.409146386130516</v>
      </c>
      <c r="J66" s="37">
        <f t="shared" si="9"/>
        <v>3882.1812334513716</v>
      </c>
      <c r="K66" s="38">
        <f t="shared" si="10"/>
        <v>27.196286477127348</v>
      </c>
      <c r="L66" s="38">
        <f t="shared" si="3"/>
        <v>13.214214328180269</v>
      </c>
      <c r="M66" s="38">
        <f t="shared" si="11"/>
        <v>39.997592556031343</v>
      </c>
      <c r="N66" s="38">
        <f t="shared" si="4"/>
        <v>31.593871730324942</v>
      </c>
      <c r="O66" s="38">
        <f t="shared" si="5"/>
        <v>26.601990350300035</v>
      </c>
      <c r="P66" s="34">
        <f t="shared" si="6"/>
        <v>10.584591869341727</v>
      </c>
      <c r="R66" s="9"/>
      <c r="S66" s="9"/>
      <c r="T66" s="9"/>
      <c r="U66" s="9"/>
      <c r="V66" s="9"/>
      <c r="W66" s="9"/>
      <c r="X66" s="9"/>
      <c r="Y66" s="9"/>
    </row>
    <row r="67" spans="1:25" ht="17">
      <c r="A67" s="5" t="s">
        <v>17</v>
      </c>
      <c r="B67" s="5">
        <v>330</v>
      </c>
      <c r="D67" s="65">
        <f t="shared" si="7"/>
        <v>483.23971866850525</v>
      </c>
      <c r="E67" s="162">
        <v>12.4</v>
      </c>
      <c r="F67" s="9">
        <f t="shared" si="0"/>
        <v>2.9703465665151896</v>
      </c>
      <c r="G67" s="36">
        <f t="shared" si="1"/>
        <v>36.832297424788351</v>
      </c>
      <c r="H67" s="36">
        <f t="shared" si="8"/>
        <v>27.76918589526392</v>
      </c>
      <c r="I67" s="9">
        <f t="shared" si="2"/>
        <v>75.393575304306424</v>
      </c>
      <c r="J67" s="37">
        <f t="shared" si="9"/>
        <v>3909.2518712472611</v>
      </c>
      <c r="K67" s="38">
        <f t="shared" si="10"/>
        <v>27.769185895263863</v>
      </c>
      <c r="L67" s="2">
        <f t="shared" si="3"/>
        <v>13.119999360758911</v>
      </c>
      <c r="M67" s="38">
        <f t="shared" si="11"/>
        <v>40.840156025918432</v>
      </c>
      <c r="N67" s="38">
        <f t="shared" si="4"/>
        <v>32.259407841154101</v>
      </c>
      <c r="O67" s="38">
        <f t="shared" si="5"/>
        <v>26.25956205895179</v>
      </c>
      <c r="P67" s="34">
        <f t="shared" si="6"/>
        <v>10.580617030181635</v>
      </c>
      <c r="R67" s="9"/>
      <c r="S67" s="9"/>
      <c r="T67" s="9"/>
      <c r="U67" s="9"/>
      <c r="V67" s="9"/>
      <c r="W67" s="9"/>
      <c r="X67" s="9"/>
      <c r="Y67" s="9"/>
    </row>
    <row r="68" spans="1:25">
      <c r="A68" s="5" t="s">
        <v>157</v>
      </c>
      <c r="B68" s="5">
        <v>390</v>
      </c>
      <c r="D68" s="65">
        <f t="shared" si="7"/>
        <v>489.94125276381993</v>
      </c>
      <c r="E68" s="162">
        <v>12.5</v>
      </c>
      <c r="F68" s="9">
        <f t="shared" si="0"/>
        <v>3.0087655359295549</v>
      </c>
      <c r="G68" s="36">
        <f t="shared" si="1"/>
        <v>37.609569199119434</v>
      </c>
      <c r="H68" s="36">
        <f t="shared" si="8"/>
        <v>28.348835644710192</v>
      </c>
      <c r="I68" s="9">
        <f t="shared" si="2"/>
        <v>75.376656123394085</v>
      </c>
      <c r="J68" s="37">
        <f t="shared" si="9"/>
        <v>3936.2651527899784</v>
      </c>
      <c r="K68" s="38">
        <f t="shared" si="10"/>
        <v>28.348835644710292</v>
      </c>
      <c r="L68" s="2">
        <f t="shared" si="3"/>
        <v>13.027037086489443</v>
      </c>
      <c r="M68" s="38">
        <f t="shared" si="11"/>
        <v>41.692647211546387</v>
      </c>
      <c r="N68" s="38">
        <f t="shared" si="4"/>
        <v>32.932785798395699</v>
      </c>
      <c r="O68" s="38">
        <f t="shared" si="5"/>
        <v>25.924253341961386</v>
      </c>
      <c r="P68" s="34">
        <f t="shared" si="6"/>
        <v>10.576640682967035</v>
      </c>
      <c r="R68" s="9"/>
      <c r="S68" s="9"/>
      <c r="T68" s="9"/>
      <c r="U68" s="9"/>
      <c r="V68" s="9"/>
      <c r="W68" s="9"/>
      <c r="X68" s="9"/>
      <c r="Y68" s="9"/>
    </row>
    <row r="69" spans="1:25">
      <c r="A69" s="5" t="s">
        <v>158</v>
      </c>
      <c r="B69" s="5">
        <v>0.24</v>
      </c>
      <c r="D69" s="65">
        <f t="shared" si="7"/>
        <v>496.67465062520893</v>
      </c>
      <c r="E69" s="162">
        <v>12.6</v>
      </c>
      <c r="F69" s="9">
        <f t="shared" si="0"/>
        <v>3.0473671759141103</v>
      </c>
      <c r="G69" s="36">
        <f t="shared" si="1"/>
        <v>38.39682641651779</v>
      </c>
      <c r="H69" s="36">
        <f t="shared" si="8"/>
        <v>28.93524780079305</v>
      </c>
      <c r="I69" s="36">
        <f t="shared" si="2"/>
        <v>75.358435842878677</v>
      </c>
      <c r="J69" s="37">
        <f t="shared" si="9"/>
        <v>3963.2214411147975</v>
      </c>
      <c r="K69" s="38">
        <f t="shared" si="10"/>
        <v>28.93524780079316</v>
      </c>
      <c r="L69" s="38">
        <f t="shared" si="3"/>
        <v>12.935304736840081</v>
      </c>
      <c r="M69" s="38">
        <f t="shared" si="11"/>
        <v>42.555083872104177</v>
      </c>
      <c r="N69" s="38">
        <f t="shared" si="4"/>
        <v>33.614019629932486</v>
      </c>
      <c r="O69" s="38">
        <f t="shared" si="5"/>
        <v>25.595865380614189</v>
      </c>
      <c r="P69" s="34">
        <f t="shared" si="6"/>
        <v>10.572662825980156</v>
      </c>
      <c r="R69" s="9"/>
      <c r="S69" s="173"/>
      <c r="T69" s="9"/>
      <c r="U69" s="9"/>
      <c r="V69" s="9"/>
      <c r="W69" s="9"/>
      <c r="X69" s="9"/>
      <c r="Y69" s="9"/>
    </row>
    <row r="70" spans="1:25">
      <c r="A70" s="5" t="s">
        <v>250</v>
      </c>
      <c r="B70" s="5">
        <f>0.8-B69</f>
        <v>0.56000000000000005</v>
      </c>
      <c r="D70" s="65">
        <f t="shared" si="7"/>
        <v>503.43971141904177</v>
      </c>
      <c r="E70" s="162">
        <v>12.7</v>
      </c>
      <c r="F70" s="9">
        <f t="shared" si="0"/>
        <v>3.0861503351173813</v>
      </c>
      <c r="G70" s="36">
        <f t="shared" si="1"/>
        <v>39.194109255990739</v>
      </c>
      <c r="H70" s="36">
        <f t="shared" si="8"/>
        <v>29.528434196853421</v>
      </c>
      <c r="I70" s="9">
        <f t="shared" si="2"/>
        <v>75.338959750284573</v>
      </c>
      <c r="J70" s="37">
        <f t="shared" si="9"/>
        <v>3990.1210954433768</v>
      </c>
      <c r="K70" s="38">
        <f t="shared" si="10"/>
        <v>29.52843419685346</v>
      </c>
      <c r="L70" s="2">
        <f t="shared" si="3"/>
        <v>12.84478001862211</v>
      </c>
      <c r="M70" s="38">
        <f t="shared" si="11"/>
        <v>43.427483410892464</v>
      </c>
      <c r="N70" s="38">
        <f t="shared" si="4"/>
        <v>34.303123082533041</v>
      </c>
      <c r="O70" s="38">
        <f t="shared" si="5"/>
        <v>25.274206221400188</v>
      </c>
      <c r="P70" s="34">
        <f t="shared" si="6"/>
        <v>10.568683457499962</v>
      </c>
      <c r="R70" s="9"/>
      <c r="S70" s="173"/>
      <c r="T70" s="9"/>
      <c r="U70" s="9"/>
      <c r="V70" s="9"/>
      <c r="W70" s="9"/>
      <c r="X70" s="9"/>
      <c r="Y70" s="9"/>
    </row>
    <row r="71" spans="1:25">
      <c r="D71" s="65">
        <f t="shared" si="7"/>
        <v>510.2362364125845</v>
      </c>
      <c r="E71" s="162">
        <v>12.8</v>
      </c>
      <c r="F71" s="9">
        <f t="shared" si="0"/>
        <v>3.1251138742320341</v>
      </c>
      <c r="G71" s="36">
        <f t="shared" si="1"/>
        <v>40.001457590170041</v>
      </c>
      <c r="H71" s="36">
        <f t="shared" si="8"/>
        <v>30.128406428513117</v>
      </c>
      <c r="I71" s="9">
        <f t="shared" si="2"/>
        <v>75.318271491979019</v>
      </c>
      <c r="J71" s="37">
        <f t="shared" si="9"/>
        <v>4016.9644712396052</v>
      </c>
      <c r="K71" s="38">
        <f t="shared" si="10"/>
        <v>30.128406428513191</v>
      </c>
      <c r="L71" s="2">
        <f t="shared" si="3"/>
        <v>12.755441105175377</v>
      </c>
      <c r="M71" s="38">
        <f t="shared" si="11"/>
        <v>44.309862881598562</v>
      </c>
      <c r="N71" s="38">
        <f t="shared" si="4"/>
        <v>35.000109626808367</v>
      </c>
      <c r="O71" s="38">
        <f t="shared" si="5"/>
        <v>24.959090496875969</v>
      </c>
      <c r="P71" s="34">
        <f t="shared" si="6"/>
        <v>10.564702575802142</v>
      </c>
      <c r="R71" s="9"/>
      <c r="S71" s="9"/>
      <c r="T71" s="9"/>
      <c r="U71" s="9"/>
      <c r="V71" s="9"/>
      <c r="W71" s="9"/>
      <c r="X71" s="9"/>
      <c r="Y71" s="9"/>
    </row>
    <row r="72" spans="1:25">
      <c r="D72" s="65">
        <f t="shared" si="7"/>
        <v>517.06402894335713</v>
      </c>
      <c r="E72" s="162">
        <v>12.9</v>
      </c>
      <c r="F72" s="9">
        <f t="shared" si="0"/>
        <v>3.1642566658192406</v>
      </c>
      <c r="G72" s="36">
        <f t="shared" si="1"/>
        <v>40.818910989068208</v>
      </c>
      <c r="H72" s="36">
        <f t="shared" si="8"/>
        <v>30.735175857854085</v>
      </c>
      <c r="I72" s="36">
        <f t="shared" si="2"/>
        <v>75.296413140677203</v>
      </c>
      <c r="J72" s="37">
        <f t="shared" si="9"/>
        <v>4043.7519202643971</v>
      </c>
      <c r="K72" s="38">
        <f t="shared" si="10"/>
        <v>30.735175857854205</v>
      </c>
      <c r="L72" s="38">
        <f t="shared" si="3"/>
        <v>12.667266627515689</v>
      </c>
      <c r="M72" s="38">
        <f t="shared" si="11"/>
        <v>45.202238994442084</v>
      </c>
      <c r="N72" s="38">
        <f t="shared" si="4"/>
        <v>35.70499246206623</v>
      </c>
      <c r="O72" s="38">
        <f t="shared" si="5"/>
        <v>24.650339159451672</v>
      </c>
      <c r="P72" s="34">
        <f t="shared" si="6"/>
        <v>10.560720179159114</v>
      </c>
      <c r="R72" s="9"/>
      <c r="S72" s="9"/>
      <c r="T72" s="9"/>
      <c r="U72" s="9"/>
      <c r="V72" s="9"/>
      <c r="W72" s="9"/>
      <c r="X72" s="9"/>
      <c r="Y72" s="9"/>
    </row>
    <row r="73" spans="1:25" ht="16">
      <c r="D73" s="65">
        <f t="shared" si="7"/>
        <v>523.9228943890663</v>
      </c>
      <c r="E73" s="162">
        <v>13</v>
      </c>
      <c r="F73" s="9">
        <f t="shared" si="0"/>
        <v>3.2035775941362874</v>
      </c>
      <c r="G73" s="36">
        <f t="shared" si="1"/>
        <v>41.646508723771738</v>
      </c>
      <c r="H73" s="36">
        <f t="shared" si="8"/>
        <v>31.348753617511903</v>
      </c>
      <c r="I73" s="9">
        <f t="shared" si="2"/>
        <v>75.273425259818012</v>
      </c>
      <c r="J73" s="37">
        <f t="shared" si="9"/>
        <v>4070.4837906294779</v>
      </c>
      <c r="K73" s="38">
        <f t="shared" si="10"/>
        <v>31.348753617511946</v>
      </c>
      <c r="L73" s="2">
        <f t="shared" si="3"/>
        <v>12.580235665469173</v>
      </c>
      <c r="M73" s="38">
        <f t="shared" si="11"/>
        <v>46.104628122195685</v>
      </c>
      <c r="N73" s="38">
        <f t="shared" si="4"/>
        <v>36.41778452106702</v>
      </c>
      <c r="O73" s="38">
        <f t="shared" si="5"/>
        <v>24.347779227438842</v>
      </c>
      <c r="P73" s="34">
        <f t="shared" si="6"/>
        <v>10.556736265839993</v>
      </c>
      <c r="R73" s="9"/>
      <c r="S73" s="174"/>
      <c r="T73" s="9"/>
      <c r="U73" s="9"/>
      <c r="V73" s="9"/>
      <c r="W73" s="9"/>
      <c r="X73" s="9"/>
      <c r="Y73" s="9"/>
    </row>
    <row r="74" spans="1:25" ht="16">
      <c r="D74" s="65">
        <f t="shared" si="7"/>
        <v>530.81264013810085</v>
      </c>
      <c r="E74" s="162">
        <v>13.1</v>
      </c>
      <c r="F74" s="9">
        <f t="shared" si="0"/>
        <v>3.24307555496739</v>
      </c>
      <c r="G74" s="36">
        <f t="shared" si="1"/>
        <v>42.484289770072806</v>
      </c>
      <c r="H74" s="36">
        <f t="shared" si="8"/>
        <v>31.969150614685955</v>
      </c>
      <c r="I74" s="9">
        <f t="shared" si="2"/>
        <v>75.249346964971437</v>
      </c>
      <c r="J74" s="37">
        <f t="shared" si="9"/>
        <v>4097.1604268501742</v>
      </c>
      <c r="K74" s="38">
        <f t="shared" si="10"/>
        <v>31.969150614685965</v>
      </c>
      <c r="L74" s="2">
        <f t="shared" si="3"/>
        <v>12.494327738815608</v>
      </c>
      <c r="M74" s="38">
        <f t="shared" si="11"/>
        <v>47.017046306083458</v>
      </c>
      <c r="N74" s="38">
        <f t="shared" si="4"/>
        <v>37.138498474682677</v>
      </c>
      <c r="O74" s="38">
        <f t="shared" si="5"/>
        <v>24.051243542731559</v>
      </c>
      <c r="P74" s="34">
        <f t="shared" si="6"/>
        <v>10.552750834110606</v>
      </c>
      <c r="R74" s="9"/>
      <c r="S74" s="175"/>
      <c r="T74" s="176"/>
      <c r="U74" s="176"/>
      <c r="V74" s="176"/>
      <c r="W74" s="176"/>
      <c r="X74" s="176"/>
      <c r="Y74" s="9"/>
    </row>
    <row r="75" spans="1:25">
      <c r="D75" s="65">
        <f t="shared" si="7"/>
        <v>537.73307556056363</v>
      </c>
      <c r="E75" s="162">
        <v>13.2</v>
      </c>
      <c r="F75" s="9">
        <f t="shared" si="0"/>
        <v>3.2827494554576839</v>
      </c>
      <c r="G75" s="36">
        <f t="shared" si="1"/>
        <v>43.332292812041423</v>
      </c>
      <c r="H75" s="36">
        <f t="shared" si="8"/>
        <v>32.596377535068477</v>
      </c>
      <c r="I75" s="36">
        <f t="shared" si="2"/>
        <v>75.224215982428717</v>
      </c>
      <c r="J75" s="37">
        <f t="shared" si="9"/>
        <v>4123.7821698972029</v>
      </c>
      <c r="K75" s="38">
        <f t="shared" si="10"/>
        <v>32.596377535068449</v>
      </c>
      <c r="L75" s="38">
        <f t="shared" si="3"/>
        <v>12.409522798459797</v>
      </c>
      <c r="M75" s="38">
        <f t="shared" si="11"/>
        <v>47.939509261558364</v>
      </c>
      <c r="N75" s="38">
        <f t="shared" si="4"/>
        <v>37.867146736460505</v>
      </c>
      <c r="O75" s="38">
        <f t="shared" si="5"/>
        <v>23.760570539528175</v>
      </c>
      <c r="P75" s="34">
        <f t="shared" si="6"/>
        <v>10.54876388223347</v>
      </c>
      <c r="R75" s="9"/>
      <c r="S75" s="9"/>
      <c r="T75" s="9"/>
      <c r="U75" s="9"/>
      <c r="V75" s="173"/>
      <c r="W75" s="9"/>
      <c r="X75" s="9"/>
      <c r="Y75" s="9"/>
    </row>
    <row r="76" spans="1:25">
      <c r="D76" s="65">
        <f t="shared" si="7"/>
        <v>544.68401197984792</v>
      </c>
      <c r="E76" s="162">
        <v>13.3</v>
      </c>
      <c r="F76" s="9">
        <f t="shared" si="0"/>
        <v>3.3225982139502341</v>
      </c>
      <c r="G76" s="36">
        <f t="shared" si="1"/>
        <v>44.190556245538119</v>
      </c>
      <c r="H76" s="36">
        <f t="shared" si="8"/>
        <v>33.230444846693921</v>
      </c>
      <c r="I76" s="9">
        <f t="shared" si="2"/>
        <v>75.1980687051188</v>
      </c>
      <c r="J76" s="37">
        <f t="shared" si="9"/>
        <v>4150.3493572475272</v>
      </c>
      <c r="K76" s="38">
        <f t="shared" si="10"/>
        <v>33.230444846693892</v>
      </c>
      <c r="L76" s="2">
        <f t="shared" si="3"/>
        <v>12.325801217649172</v>
      </c>
      <c r="M76" s="38">
        <f t="shared" si="11"/>
        <v>48.872032383964147</v>
      </c>
      <c r="N76" s="38">
        <f t="shared" si="4"/>
        <v>38.603741467095297</v>
      </c>
      <c r="O76" s="38">
        <f t="shared" si="5"/>
        <v>23.475604023534906</v>
      </c>
      <c r="P76" s="34">
        <f t="shared" si="6"/>
        <v>10.544775408467784</v>
      </c>
      <c r="R76" s="9"/>
      <c r="S76" s="9"/>
      <c r="T76" s="9"/>
      <c r="U76" s="9"/>
      <c r="V76" s="9"/>
      <c r="W76" s="9"/>
      <c r="X76" s="9"/>
      <c r="Y76" s="173"/>
    </row>
    <row r="77" spans="1:25">
      <c r="D77" s="65">
        <f t="shared" si="7"/>
        <v>551.66526264472895</v>
      </c>
      <c r="E77" s="162">
        <v>13.4</v>
      </c>
      <c r="F77" s="9">
        <f t="shared" si="0"/>
        <v>3.362620759826064</v>
      </c>
      <c r="G77" s="36">
        <f t="shared" si="1"/>
        <v>45.059118181669255</v>
      </c>
      <c r="H77" s="36">
        <f t="shared" si="8"/>
        <v>33.871362803710852</v>
      </c>
      <c r="I77" s="36">
        <f t="shared" si="2"/>
        <v>75.170940245986088</v>
      </c>
      <c r="J77" s="37">
        <f t="shared" si="9"/>
        <v>4176.8623229342675</v>
      </c>
      <c r="K77" s="38">
        <f t="shared" si="10"/>
        <v>33.871362803710859</v>
      </c>
      <c r="L77" s="38">
        <f t="shared" si="3"/>
        <v>12.243143783252174</v>
      </c>
      <c r="M77" s="38">
        <f t="shared" si="11"/>
        <v>49.814630754082373</v>
      </c>
      <c r="N77" s="38">
        <f t="shared" si="4"/>
        <v>39.348294578810979</v>
      </c>
      <c r="O77" s="38">
        <f t="shared" si="5"/>
        <v>23.196192961121984</v>
      </c>
      <c r="P77" s="34">
        <f t="shared" si="6"/>
        <v>10.540785411069418</v>
      </c>
      <c r="R77" s="9"/>
      <c r="S77" s="9"/>
      <c r="T77" s="9"/>
      <c r="U77" s="9"/>
      <c r="V77" s="9"/>
      <c r="W77" s="9"/>
      <c r="X77" s="9"/>
      <c r="Y77" s="9"/>
    </row>
    <row r="78" spans="1:25">
      <c r="D78" s="65">
        <f t="shared" si="7"/>
        <v>558.67664270197042</v>
      </c>
      <c r="E78" s="162">
        <v>13.5</v>
      </c>
      <c r="F78" s="9">
        <f t="shared" si="0"/>
        <v>3.4028160333471082</v>
      </c>
      <c r="G78" s="36">
        <f t="shared" si="1"/>
        <v>45.938016450185962</v>
      </c>
      <c r="H78" s="36">
        <f t="shared" si="8"/>
        <v>34.519141450078173</v>
      </c>
      <c r="I78" s="9">
        <f t="shared" si="2"/>
        <v>75.142864488957343</v>
      </c>
      <c r="J78" s="37">
        <f t="shared" si="9"/>
        <v>4203.3213975957024</v>
      </c>
      <c r="K78" s="38">
        <f t="shared" si="10"/>
        <v>34.519141450078159</v>
      </c>
      <c r="L78" s="2">
        <f t="shared" si="3"/>
        <v>12.161531687111163</v>
      </c>
      <c r="M78" s="38">
        <f t="shared" si="11"/>
        <v>50.76731914356845</v>
      </c>
      <c r="N78" s="38">
        <f t="shared" si="4"/>
        <v>40.100817739654431</v>
      </c>
      <c r="O78" s="38">
        <f t="shared" si="5"/>
        <v>22.922191277933102</v>
      </c>
      <c r="P78" s="34">
        <f t="shared" si="6"/>
        <v>10.536793888290919</v>
      </c>
      <c r="R78" s="9"/>
      <c r="S78" s="9"/>
      <c r="T78" s="9"/>
      <c r="U78" s="9"/>
      <c r="V78" s="9"/>
      <c r="W78" s="9"/>
      <c r="X78" s="9"/>
      <c r="Y78" s="9"/>
    </row>
    <row r="79" spans="1:25">
      <c r="D79" s="65">
        <f t="shared" si="7"/>
        <v>565.71796916942696</v>
      </c>
      <c r="E79" s="162">
        <v>13.6</v>
      </c>
      <c r="F79" s="9">
        <f t="shared" si="0"/>
        <v>3.4431829855019953</v>
      </c>
      <c r="G79" s="36">
        <f t="shared" si="1"/>
        <v>46.827288602827132</v>
      </c>
      <c r="H79" s="36">
        <f t="shared" si="8"/>
        <v>35.173790623187102</v>
      </c>
      <c r="I79" s="9">
        <f t="shared" si="2"/>
        <v>75.113874137618836</v>
      </c>
      <c r="J79" s="37">
        <f t="shared" si="9"/>
        <v>4229.7269085233775</v>
      </c>
      <c r="K79" s="38">
        <f t="shared" si="10"/>
        <v>35.173790623187053</v>
      </c>
      <c r="L79" s="2">
        <f t="shared" si="3"/>
        <v>12.08094651748153</v>
      </c>
      <c r="M79" s="38">
        <f t="shared" si="11"/>
        <v>51.730112020278789</v>
      </c>
      <c r="N79" s="38">
        <f t="shared" si="4"/>
        <v>40.861322377703466</v>
      </c>
      <c r="O79" s="38">
        <f t="shared" si="5"/>
        <v>22.653457666476029</v>
      </c>
      <c r="P79" s="34">
        <f t="shared" si="6"/>
        <v>10.532800838381482</v>
      </c>
      <c r="R79" s="9"/>
      <c r="S79" s="9"/>
      <c r="T79" s="9"/>
      <c r="U79" s="9"/>
      <c r="V79" s="9"/>
      <c r="W79" s="9"/>
      <c r="X79" s="9"/>
      <c r="Y79" s="9"/>
    </row>
    <row r="80" spans="1:25">
      <c r="D80" s="65">
        <f t="shared" si="7"/>
        <v>572.78906090963801</v>
      </c>
      <c r="E80" s="162">
        <v>13.7</v>
      </c>
      <c r="F80" s="9">
        <f t="shared" si="0"/>
        <v>3.4837205778546756</v>
      </c>
      <c r="G80" s="36">
        <f t="shared" si="1"/>
        <v>47.726971916609052</v>
      </c>
      <c r="H80" s="36">
        <f t="shared" si="8"/>
        <v>35.835319957411308</v>
      </c>
      <c r="I80" s="9">
        <f t="shared" si="2"/>
        <v>75.084000761717235</v>
      </c>
      <c r="J80" s="37">
        <f t="shared" si="9"/>
        <v>4256.0791797093407</v>
      </c>
      <c r="K80" s="38">
        <f t="shared" si="10"/>
        <v>35.835319957411237</v>
      </c>
      <c r="L80" s="2">
        <f t="shared" si="3"/>
        <v>12.001370250566989</v>
      </c>
      <c r="M80" s="38">
        <f t="shared" si="11"/>
        <v>52.703023553491803</v>
      </c>
      <c r="N80" s="38">
        <f t="shared" si="4"/>
        <v>41.629819685190782</v>
      </c>
      <c r="O80" s="38">
        <f t="shared" si="5"/>
        <v>22.389855402247417</v>
      </c>
      <c r="P80" s="34">
        <f t="shared" si="6"/>
        <v>10.528806259586952</v>
      </c>
      <c r="R80" s="9"/>
      <c r="S80" s="9"/>
      <c r="T80" s="9"/>
      <c r="U80" s="9"/>
      <c r="V80" s="9"/>
      <c r="W80" s="9"/>
      <c r="X80" s="9"/>
      <c r="Y80" s="9"/>
    </row>
    <row r="81" spans="4:16">
      <c r="D81" s="65">
        <f t="shared" si="7"/>
        <v>579.88973860389478</v>
      </c>
      <c r="E81" s="162">
        <v>13.8</v>
      </c>
      <c r="F81" s="9">
        <f t="shared" si="0"/>
        <v>3.5244277823957564</v>
      </c>
      <c r="G81" s="36">
        <f t="shared" si="1"/>
        <v>48.637103397061438</v>
      </c>
      <c r="H81" s="36">
        <f t="shared" si="8"/>
        <v>36.503738887586309</v>
      </c>
      <c r="I81" s="9">
        <f t="shared" si="2"/>
        <v>75.053274841593037</v>
      </c>
      <c r="J81" s="37">
        <f t="shared" si="9"/>
        <v>4282.3785318925247</v>
      </c>
      <c r="K81" s="38">
        <f t="shared" si="10"/>
        <v>36.503738887586294</v>
      </c>
      <c r="L81" s="2">
        <f t="shared" si="3"/>
        <v>11.922785242160014</v>
      </c>
      <c r="M81" s="38">
        <f t="shared" si="11"/>
        <v>53.686067619024961</v>
      </c>
      <c r="N81" s="38">
        <f t="shared" si="4"/>
        <v>42.406320622546055</v>
      </c>
      <c r="O81" s="38">
        <f t="shared" si="5"/>
        <v>22.131252167970061</v>
      </c>
      <c r="P81" s="34">
        <f t="shared" si="6"/>
        <v>10.524810150149817</v>
      </c>
    </row>
    <row r="82" spans="4:16">
      <c r="D82" s="65">
        <f t="shared" si="7"/>
        <v>587.01982472677651</v>
      </c>
      <c r="E82" s="162">
        <v>13.9</v>
      </c>
      <c r="F82" s="9">
        <f t="shared" si="0"/>
        <v>3.565303581396523</v>
      </c>
      <c r="G82" s="36">
        <f t="shared" si="1"/>
        <v>49.55771978141167</v>
      </c>
      <c r="H82" s="36">
        <f t="shared" si="8"/>
        <v>37.179056652420009</v>
      </c>
      <c r="I82" s="9">
        <f t="shared" si="2"/>
        <v>75.021725810648164</v>
      </c>
      <c r="J82" s="37">
        <f t="shared" si="9"/>
        <v>4308.6252826042846</v>
      </c>
      <c r="K82" s="38">
        <f t="shared" si="10"/>
        <v>37.179056652420044</v>
      </c>
      <c r="L82" s="2">
        <f t="shared" si="3"/>
        <v>11.845174219394947</v>
      </c>
      <c r="M82" s="38">
        <f t="shared" si="11"/>
        <v>54.679257804250689</v>
      </c>
      <c r="N82" s="38">
        <f t="shared" si="4"/>
        <v>43.190835922357714</v>
      </c>
      <c r="O82" s="38">
        <f t="shared" si="5"/>
        <v>21.87751988554297</v>
      </c>
      <c r="P82" s="34">
        <f t="shared" si="6"/>
        <v>10.520812508309193</v>
      </c>
    </row>
    <row r="83" spans="4:16">
      <c r="D83" s="65">
        <f t="shared" si="7"/>
        <v>594.17914352114497</v>
      </c>
      <c r="E83" s="162">
        <v>14</v>
      </c>
      <c r="F83" s="9">
        <f t="shared" si="0"/>
        <v>3.6063469672655795</v>
      </c>
      <c r="G83" s="36">
        <f t="shared" si="1"/>
        <v>50.488857541718112</v>
      </c>
      <c r="H83" s="36">
        <f t="shared" si="8"/>
        <v>37.861282297836091</v>
      </c>
      <c r="I83" s="9">
        <f t="shared" si="2"/>
        <v>74.989382095944507</v>
      </c>
      <c r="J83" s="37">
        <f t="shared" si="9"/>
        <v>4334.8197462131393</v>
      </c>
      <c r="K83" s="38">
        <f t="shared" si="10"/>
        <v>37.861282297836134</v>
      </c>
      <c r="L83" s="2">
        <f t="shared" si="3"/>
        <v>11.768520272620242</v>
      </c>
      <c r="M83" s="38">
        <f t="shared" si="11"/>
        <v>55.682607413013578</v>
      </c>
      <c r="N83" s="38">
        <f t="shared" si="4"/>
        <v>43.983376093257199</v>
      </c>
      <c r="O83" s="38">
        <f t="shared" si="5"/>
        <v>21.628534555326357</v>
      </c>
      <c r="P83" s="34">
        <f t="shared" si="6"/>
        <v>10.516813332300813</v>
      </c>
    </row>
    <row r="84" spans="4:16">
      <c r="D84" s="65">
        <f t="shared" si="7"/>
        <v>601.36752097358078</v>
      </c>
      <c r="E84" s="162">
        <v>14.1</v>
      </c>
      <c r="F84" s="9">
        <f t="shared" si="0"/>
        <v>3.6475569424080252</v>
      </c>
      <c r="G84" s="36">
        <f t="shared" si="1"/>
        <v>51.430552887953155</v>
      </c>
      <c r="H84" s="36">
        <f t="shared" si="8"/>
        <v>38.550424680251247</v>
      </c>
      <c r="I84" s="9">
        <f t="shared" si="2"/>
        <v>74.956271157024858</v>
      </c>
      <c r="J84" s="37">
        <f t="shared" si="9"/>
        <v>4360.9622339686957</v>
      </c>
      <c r="K84" s="38">
        <f t="shared" si="10"/>
        <v>38.550424680251268</v>
      </c>
      <c r="L84" s="2">
        <f t="shared" si="3"/>
        <v>11.692806847395222</v>
      </c>
      <c r="M84" s="38">
        <f t="shared" si="11"/>
        <v>56.696129470450174</v>
      </c>
      <c r="N84" s="38">
        <f t="shared" si="4"/>
        <v>44.783951423726151</v>
      </c>
      <c r="O84" s="38">
        <f t="shared" si="5"/>
        <v>21.384176102404137</v>
      </c>
      <c r="P84" s="34">
        <f t="shared" si="6"/>
        <v>10.512812620357032</v>
      </c>
    </row>
    <row r="85" spans="4:16">
      <c r="D85" s="65">
        <f t="shared" si="7"/>
        <v>608.58478479026235</v>
      </c>
      <c r="E85" s="162">
        <v>14.2</v>
      </c>
      <c r="F85" s="9">
        <f t="shared" si="0"/>
        <v>3.68893251908717</v>
      </c>
      <c r="G85" s="36">
        <f t="shared" si="1"/>
        <v>52.38284177103781</v>
      </c>
      <c r="H85" s="36">
        <f t="shared" si="8"/>
        <v>39.246492469788706</v>
      </c>
      <c r="I85" s="9">
        <f t="shared" si="2"/>
        <v>74.922419523042905</v>
      </c>
      <c r="J85" s="37">
        <f t="shared" si="9"/>
        <v>4387.0530540448026</v>
      </c>
      <c r="K85" s="38">
        <f t="shared" si="10"/>
        <v>39.246492469788748</v>
      </c>
      <c r="L85" s="2">
        <f t="shared" si="3"/>
        <v>11.618017736615915</v>
      </c>
      <c r="M85" s="38">
        <f t="shared" si="11"/>
        <v>57.719836727715318</v>
      </c>
      <c r="N85" s="38">
        <f t="shared" si="4"/>
        <v>45.592571985829487</v>
      </c>
      <c r="O85" s="38">
        <f t="shared" si="5"/>
        <v>21.144328229484984</v>
      </c>
      <c r="P85" s="34">
        <f t="shared" si="6"/>
        <v>10.508810370706795</v>
      </c>
    </row>
    <row r="86" spans="4:16">
      <c r="D86" s="65">
        <f t="shared" si="7"/>
        <v>615.83076437326747</v>
      </c>
      <c r="E86" s="162">
        <v>14.3</v>
      </c>
      <c r="F86" s="9">
        <f t="shared" si="0"/>
        <v>3.7304727192886848</v>
      </c>
      <c r="G86" s="36">
        <f t="shared" si="1"/>
        <v>53.345759885828194</v>
      </c>
      <c r="H86" s="36">
        <f t="shared" si="8"/>
        <v>39.949494153428695</v>
      </c>
      <c r="I86" s="9">
        <f t="shared" si="2"/>
        <v>74.88785282828384</v>
      </c>
      <c r="J86" s="37">
        <f t="shared" si="9"/>
        <v>4413.0925115819309</v>
      </c>
      <c r="K86" s="38">
        <f t="shared" si="10"/>
        <v>39.94949415342883</v>
      </c>
      <c r="L86" s="2">
        <f t="shared" si="3"/>
        <v>11.544137072773589</v>
      </c>
      <c r="M86" s="38">
        <f t="shared" si="11"/>
        <v>58.753741666615291</v>
      </c>
      <c r="N86" s="38">
        <f t="shared" si="4"/>
        <v>46.409247638875229</v>
      </c>
      <c r="O86" s="38">
        <f t="shared" si="5"/>
        <v>20.908878276121747</v>
      </c>
      <c r="P86" s="34">
        <f t="shared" si="6"/>
        <v>10.504806581575652</v>
      </c>
    </row>
    <row r="87" spans="4:16">
      <c r="D87" s="65">
        <f t="shared" si="7"/>
        <v>623.10529079729304</v>
      </c>
      <c r="E87" s="162">
        <v>14.4</v>
      </c>
      <c r="F87" s="9">
        <f t="shared" si="0"/>
        <v>3.7721765745871561</v>
      </c>
      <c r="G87" s="36">
        <f t="shared" si="1"/>
        <v>54.319342674055051</v>
      </c>
      <c r="H87" s="36">
        <f t="shared" si="8"/>
        <v>40.659438038097719</v>
      </c>
      <c r="I87" s="9">
        <f t="shared" si="2"/>
        <v>74.85259584615369</v>
      </c>
      <c r="J87" s="37">
        <f t="shared" si="9"/>
        <v>4439.0809087288071</v>
      </c>
      <c r="K87" s="38">
        <f t="shared" si="10"/>
        <v>40.659438038097797</v>
      </c>
      <c r="L87" s="2">
        <f t="shared" si="3"/>
        <v>11.471149320349037</v>
      </c>
      <c r="M87" s="38">
        <f t="shared" si="11"/>
        <v>59.797856504150808</v>
      </c>
      <c r="N87" s="38">
        <f t="shared" si="4"/>
        <v>47.233988033003087</v>
      </c>
      <c r="O87" s="38">
        <f t="shared" si="5"/>
        <v>20.677717083945538</v>
      </c>
      <c r="P87" s="34">
        <f t="shared" si="6"/>
        <v>10.500801251185733</v>
      </c>
    </row>
    <row r="88" spans="4:16">
      <c r="D88" s="65">
        <f t="shared" si="7"/>
        <v>630.40819678679111</v>
      </c>
      <c r="E88" s="162">
        <v>14.5</v>
      </c>
      <c r="F88" s="9">
        <f t="shared" si="0"/>
        <v>3.8140431260149561</v>
      </c>
      <c r="G88" s="36">
        <f t="shared" si="1"/>
        <v>55.303625327216864</v>
      </c>
      <c r="H88" s="36">
        <f t="shared" si="8"/>
        <v>41.376332253697704</v>
      </c>
      <c r="I88" s="9">
        <f t="shared" si="2"/>
        <v>74.816672521710714</v>
      </c>
      <c r="J88" s="37">
        <f t="shared" si="9"/>
        <v>4465.0185446833339</v>
      </c>
      <c r="K88" s="38">
        <f t="shared" si="10"/>
        <v>41.376332253697775</v>
      </c>
      <c r="L88" s="2">
        <f t="shared" si="3"/>
        <v>11.399039268345126</v>
      </c>
      <c r="M88" s="38">
        <f t="shared" si="11"/>
        <v>60.852193196973118</v>
      </c>
      <c r="N88" s="38">
        <f t="shared" si="4"/>
        <v>48.066802612704109</v>
      </c>
      <c r="O88" s="38">
        <f t="shared" si="5"/>
        <v>20.450738867627091</v>
      </c>
      <c r="P88" s="34">
        <f t="shared" si="6"/>
        <v>10.496794377755739</v>
      </c>
    </row>
    <row r="89" spans="4:16">
      <c r="D89" s="65">
        <f t="shared" si="7"/>
        <v>637.73931669349599</v>
      </c>
      <c r="E89" s="162">
        <v>14.6</v>
      </c>
      <c r="F89" s="9">
        <f t="shared" si="0"/>
        <v>3.8560714239334555</v>
      </c>
      <c r="G89" s="36">
        <f t="shared" si="1"/>
        <v>56.298642789428449</v>
      </c>
      <c r="H89" s="36">
        <f t="shared" si="8"/>
        <v>42.10018475607685</v>
      </c>
      <c r="I89" s="9">
        <f t="shared" si="2"/>
        <v>74.780106002808054</v>
      </c>
      <c r="J89" s="37">
        <f t="shared" si="9"/>
        <v>4490.9057157327616</v>
      </c>
      <c r="K89" s="38">
        <f t="shared" si="10"/>
        <v>42.100184756076878</v>
      </c>
      <c r="L89" s="2">
        <f t="shared" si="3"/>
        <v>11.327792022958826</v>
      </c>
      <c r="M89" s="38">
        <f t="shared" si="11"/>
        <v>61.916763445752267</v>
      </c>
      <c r="N89" s="38">
        <f t="shared" si="4"/>
        <v>48.9077006202712</v>
      </c>
      <c r="O89" s="38">
        <f t="shared" si="5"/>
        <v>20.227841091292518</v>
      </c>
      <c r="P89" s="34">
        <f t="shared" si="6"/>
        <v>10.492785959500946</v>
      </c>
    </row>
    <row r="90" spans="4:16">
      <c r="D90" s="65">
        <f t="shared" si="7"/>
        <v>645.09848647434762</v>
      </c>
      <c r="E90" s="162">
        <v>14.7</v>
      </c>
      <c r="F90" s="9">
        <f t="shared" si="0"/>
        <v>3.8982605279064537</v>
      </c>
      <c r="G90" s="36">
        <f t="shared" si="1"/>
        <v>57.30442976022487</v>
      </c>
      <c r="H90" s="36">
        <f t="shared" si="8"/>
        <v>42.831003329943094</v>
      </c>
      <c r="I90" s="9">
        <f t="shared" si="2"/>
        <v>74.742918669914388</v>
      </c>
      <c r="J90" s="37">
        <f t="shared" si="9"/>
        <v>4516.7427152931859</v>
      </c>
      <c r="K90" s="38">
        <f t="shared" si="10"/>
        <v>42.831003329943051</v>
      </c>
      <c r="L90" s="2">
        <f t="shared" si="3"/>
        <v>11.257393000394394</v>
      </c>
      <c r="M90" s="38">
        <f t="shared" si="11"/>
        <v>62.991578699462082</v>
      </c>
      <c r="N90" s="38">
        <f t="shared" si="4"/>
        <v>49.756691099184039</v>
      </c>
      <c r="O90" s="38">
        <f t="shared" si="5"/>
        <v>20.008924350135626</v>
      </c>
      <c r="P90" s="34">
        <f t="shared" si="6"/>
        <v>10.488775994633182</v>
      </c>
    </row>
    <row r="91" spans="4:16">
      <c r="D91" s="65">
        <f t="shared" si="7"/>
        <v>652.48554366980204</v>
      </c>
      <c r="E91" s="162">
        <v>14.8</v>
      </c>
      <c r="F91" s="9">
        <f t="shared" si="0"/>
        <v>3.9406095065758051</v>
      </c>
      <c r="G91" s="36">
        <f t="shared" si="1"/>
        <v>58.32102069732192</v>
      </c>
      <c r="H91" s="36">
        <f t="shared" si="8"/>
        <v>43.56879559172156</v>
      </c>
      <c r="I91" s="9">
        <f t="shared" si="2"/>
        <v>74.705132164674581</v>
      </c>
      <c r="J91" s="37">
        <f t="shared" si="9"/>
        <v>4542.5298339483488</v>
      </c>
      <c r="K91" s="38">
        <f t="shared" si="10"/>
        <v>43.568795591721567</v>
      </c>
      <c r="L91" s="2">
        <f t="shared" si="3"/>
        <v>11.18782791981835</v>
      </c>
      <c r="M91" s="38">
        <f t="shared" si="11"/>
        <v>64.076650159583238</v>
      </c>
      <c r="N91" s="38">
        <f t="shared" si="4"/>
        <v>50.613782897428635</v>
      </c>
      <c r="O91" s="38">
        <f t="shared" si="5"/>
        <v>19.793892256981877</v>
      </c>
      <c r="P91" s="34">
        <f t="shared" si="6"/>
        <v>10.484764481360823</v>
      </c>
    </row>
    <row r="92" spans="4:16">
      <c r="D92" s="65">
        <f t="shared" si="7"/>
        <v>659.90032738250716</v>
      </c>
      <c r="E92" s="162">
        <v>14.9</v>
      </c>
      <c r="F92" s="9">
        <f t="shared" si="0"/>
        <v>3.9831174375392289</v>
      </c>
      <c r="G92" s="36">
        <f t="shared" si="1"/>
        <v>59.348449819334512</v>
      </c>
      <c r="H92" s="36">
        <f t="shared" si="8"/>
        <v>44.313568992357524</v>
      </c>
      <c r="I92" s="9">
        <f t="shared" si="2"/>
        <v>74.66676741726971</v>
      </c>
      <c r="J92" s="37">
        <f t="shared" si="9"/>
        <v>4568.2673594877606</v>
      </c>
      <c r="K92" s="38">
        <f t="shared" si="10"/>
        <v>44.31356899235756</v>
      </c>
      <c r="L92" s="2">
        <f t="shared" si="3"/>
        <v>11.119082796456212</v>
      </c>
      <c r="M92" s="38">
        <f t="shared" si="11"/>
        <v>65.171988784224553</v>
      </c>
      <c r="N92" s="38">
        <f t="shared" si="4"/>
        <v>51.47898467075315</v>
      </c>
      <c r="O92" s="38">
        <f t="shared" si="5"/>
        <v>19.582651333571633</v>
      </c>
      <c r="P92" s="34">
        <f t="shared" si="6"/>
        <v>10.480751417888785</v>
      </c>
    </row>
    <row r="93" spans="4:16">
      <c r="D93" s="65">
        <f t="shared" si="7"/>
        <v>667.34267825635925</v>
      </c>
      <c r="E93" s="162">
        <v>15</v>
      </c>
      <c r="F93" s="9">
        <f t="shared" si="0"/>
        <v>4.0257834072301879</v>
      </c>
      <c r="G93" s="36">
        <f t="shared" si="1"/>
        <v>60.38675110845282</v>
      </c>
      <c r="H93" s="36">
        <f t="shared" si="8"/>
        <v>45.065330820065725</v>
      </c>
      <c r="I93" s="9">
        <f t="shared" si="2"/>
        <v>74.627844672633117</v>
      </c>
      <c r="J93" s="37">
        <f t="shared" si="9"/>
        <v>4593.9555769441813</v>
      </c>
      <c r="K93" s="38">
        <f t="shared" si="10"/>
        <v>45.065330820065746</v>
      </c>
      <c r="L93" s="2">
        <f t="shared" si="3"/>
        <v>11.051143934831526</v>
      </c>
      <c r="M93" s="38">
        <f t="shared" si="11"/>
        <v>66.277605292167166</v>
      </c>
      <c r="N93" s="38">
        <f t="shared" si="4"/>
        <v>52.35230488586199</v>
      </c>
      <c r="O93" s="38">
        <f t="shared" si="5"/>
        <v>19.375110906342925</v>
      </c>
      <c r="P93" s="34">
        <f t="shared" si="6"/>
        <v>10.476736802418507</v>
      </c>
    </row>
    <row r="94" spans="4:16">
      <c r="D94" s="65">
        <f t="shared" si="7"/>
        <v>674.81243845590893</v>
      </c>
      <c r="E94" s="162">
        <v>15.1</v>
      </c>
      <c r="F94" s="9">
        <f t="shared" si="0"/>
        <v>4.0686065107998521</v>
      </c>
      <c r="G94" s="36">
        <f t="shared" si="1"/>
        <v>61.435958313077769</v>
      </c>
      <c r="H94" s="36">
        <f t="shared" si="8"/>
        <v>45.82408820302738</v>
      </c>
      <c r="I94" s="9">
        <f t="shared" si="2"/>
        <v>74.588383515575245</v>
      </c>
      <c r="J94" s="37">
        <f t="shared" si="9"/>
        <v>4619.5947686304462</v>
      </c>
      <c r="K94" s="38">
        <f t="shared" si="10"/>
        <v>45.824088203027323</v>
      </c>
      <c r="L94" s="2">
        <f t="shared" si="3"/>
        <v>10.983997922146235</v>
      </c>
      <c r="M94" s="38">
        <f t="shared" si="11"/>
        <v>67.393510166830978</v>
      </c>
      <c r="N94" s="38">
        <f t="shared" si="4"/>
        <v>53.233751823549092</v>
      </c>
      <c r="O94" s="38">
        <f t="shared" si="5"/>
        <v>19.171183006504577</v>
      </c>
      <c r="P94" s="34">
        <f t="shared" ref="P94:P125" si="12">($B$69*$B$63+SQRT($B$69^2*$B$63^2+4*$B$69*($U$58-(E94*$B$63))))/(2*$B$69)</f>
        <v>10.472720633147954</v>
      </c>
    </row>
    <row r="95" spans="4:16">
      <c r="D95" s="65">
        <f t="shared" si="7"/>
        <v>682.3094516461241</v>
      </c>
      <c r="E95" s="162">
        <v>15.2</v>
      </c>
      <c r="F95" s="9">
        <f t="shared" si="0"/>
        <v>4.1115858520010597</v>
      </c>
      <c r="G95" s="36">
        <f t="shared" si="1"/>
        <v>62.496104950416104</v>
      </c>
      <c r="H95" s="36">
        <f t="shared" si="8"/>
        <v>46.589848112036044</v>
      </c>
      <c r="I95" s="9">
        <f t="shared" si="2"/>
        <v>74.548402894868488</v>
      </c>
      <c r="J95" s="37">
        <f t="shared" si="9"/>
        <v>4645.185214175669</v>
      </c>
      <c r="K95" s="38">
        <f t="shared" si="10"/>
        <v>46.589848112036073</v>
      </c>
      <c r="L95" s="2">
        <f t="shared" si="3"/>
        <v>10.917631621802077</v>
      </c>
      <c r="M95" s="38">
        <f t="shared" si="11"/>
        <v>68.519713660165763</v>
      </c>
      <c r="N95" s="38">
        <f t="shared" si="4"/>
        <v>54.123333581771668</v>
      </c>
      <c r="O95" s="38">
        <f t="shared" si="5"/>
        <v>18.970782274201653</v>
      </c>
      <c r="P95" s="34">
        <f t="shared" si="12"/>
        <v>10.468702908271602</v>
      </c>
    </row>
    <row r="96" spans="4:16">
      <c r="D96" s="65">
        <f t="shared" si="7"/>
        <v>689.83356297249782</v>
      </c>
      <c r="E96" s="162">
        <v>15.3</v>
      </c>
      <c r="F96" s="9">
        <f t="shared" si="0"/>
        <v>4.1547205430743182</v>
      </c>
      <c r="G96" s="36">
        <f t="shared" si="1"/>
        <v>63.567224309037073</v>
      </c>
      <c r="H96" s="36">
        <f t="shared" si="8"/>
        <v>47.362617363093953</v>
      </c>
      <c r="I96" s="9">
        <f t="shared" si="2"/>
        <v>74.507921146339271</v>
      </c>
      <c r="J96" s="37">
        <f t="shared" si="9"/>
        <v>4670.7271905608131</v>
      </c>
      <c r="K96" s="38">
        <f t="shared" si="10"/>
        <v>47.362617363094031</v>
      </c>
      <c r="L96" s="2">
        <f t="shared" si="3"/>
        <v>10.852032167061717</v>
      </c>
      <c r="M96" s="38">
        <f t="shared" si="11"/>
        <v>69.656225796469442</v>
      </c>
      <c r="N96" s="38">
        <f t="shared" si="4"/>
        <v>55.021058078665661</v>
      </c>
      <c r="O96" s="38">
        <f t="shared" si="5"/>
        <v>18.773825866584829</v>
      </c>
      <c r="P96" s="34">
        <f t="shared" si="12"/>
        <v>10.464683625980422</v>
      </c>
    </row>
    <row r="97" spans="4:16">
      <c r="D97" s="65">
        <f t="shared" si="7"/>
        <v>697.38461904148892</v>
      </c>
      <c r="E97" s="162">
        <v>15.4</v>
      </c>
      <c r="F97" s="9">
        <f t="shared" si="0"/>
        <v>4.1980097046356581</v>
      </c>
      <c r="G97" s="36">
        <f t="shared" si="1"/>
        <v>64.649349451389142</v>
      </c>
      <c r="H97" s="36">
        <f t="shared" si="8"/>
        <v>48.142402619958702</v>
      </c>
      <c r="I97" s="9">
        <f t="shared" si="2"/>
        <v>74.466956015014091</v>
      </c>
      <c r="J97" s="37">
        <f t="shared" si="9"/>
        <v>4696.2209721536747</v>
      </c>
      <c r="K97" s="38">
        <f t="shared" si="10"/>
        <v>48.142402619958673</v>
      </c>
      <c r="L97" s="2">
        <f t="shared" si="3"/>
        <v>10.78718695484884</v>
      </c>
      <c r="M97" s="38">
        <f t="shared" si="11"/>
        <v>70.803056376133426</v>
      </c>
      <c r="N97" s="38">
        <f t="shared" si="4"/>
        <v>55.926933055504868</v>
      </c>
      <c r="O97" s="38">
        <f t="shared" si="5"/>
        <v>18.580233369605697</v>
      </c>
      <c r="P97" s="34">
        <f t="shared" si="12"/>
        <v>10.460662784461878</v>
      </c>
    </row>
    <row r="98" spans="4:16">
      <c r="D98" s="65">
        <f t="shared" si="7"/>
        <v>704.9624679013059</v>
      </c>
      <c r="E98" s="162">
        <v>15.5</v>
      </c>
      <c r="F98" s="9">
        <f t="shared" si="0"/>
        <v>4.2414524655664163</v>
      </c>
      <c r="G98" s="36">
        <f t="shared" si="1"/>
        <v>65.742513216279448</v>
      </c>
      <c r="H98" s="36">
        <f t="shared" si="8"/>
        <v>48.929210396642532</v>
      </c>
      <c r="I98" s="9">
        <f t="shared" si="2"/>
        <v>74.425524676361874</v>
      </c>
      <c r="J98" s="37">
        <f t="shared" si="9"/>
        <v>4721.6668307432783</v>
      </c>
      <c r="K98" s="38">
        <f t="shared" si="10"/>
        <v>48.929210396642567</v>
      </c>
      <c r="L98" s="2">
        <f t="shared" si="3"/>
        <v>10.723083639685683</v>
      </c>
      <c r="M98" s="38">
        <f t="shared" si="11"/>
        <v>71.960214979319417</v>
      </c>
      <c r="N98" s="38">
        <f t="shared" si="4"/>
        <v>56.840966079604684</v>
      </c>
      <c r="O98" s="38">
        <f t="shared" si="5"/>
        <v>18.389926713367903</v>
      </c>
      <c r="P98" s="34">
        <f t="shared" si="12"/>
        <v>10.456640381899915</v>
      </c>
    </row>
    <row r="99" spans="4:16">
      <c r="D99" s="65">
        <f t="shared" si="7"/>
        <v>712.56695902299839</v>
      </c>
      <c r="E99" s="162">
        <v>15.6</v>
      </c>
      <c r="F99" s="9">
        <f t="shared" si="0"/>
        <v>4.2850479629049198</v>
      </c>
      <c r="G99" s="36">
        <f t="shared" si="1"/>
        <v>66.846748221316744</v>
      </c>
      <c r="H99" s="36">
        <f t="shared" si="8"/>
        <v>49.723047059865053</v>
      </c>
      <c r="I99" s="9">
        <f t="shared" si="2"/>
        <v>74.38364375667399</v>
      </c>
      <c r="J99" s="37">
        <f t="shared" si="9"/>
        <v>4747.0650355736652</v>
      </c>
      <c r="K99" s="38">
        <f t="shared" si="10"/>
        <v>49.723047059865202</v>
      </c>
      <c r="L99" s="2">
        <f t="shared" si="3"/>
        <v>10.659710127766067</v>
      </c>
      <c r="M99" s="38">
        <f t="shared" si="11"/>
        <v>73.127710969565072</v>
      </c>
      <c r="N99" s="38">
        <f t="shared" si="4"/>
        <v>57.763164547170376</v>
      </c>
      <c r="O99" s="38">
        <f t="shared" si="5"/>
        <v>18.202830090873064</v>
      </c>
      <c r="P99" s="34">
        <f t="shared" si="12"/>
        <v>10.452616416474951</v>
      </c>
    </row>
    <row r="100" spans="4:16">
      <c r="D100" s="65">
        <f t="shared" si="7"/>
        <v>720.19794328187754</v>
      </c>
      <c r="E100" s="162">
        <v>15.7</v>
      </c>
      <c r="F100" s="9">
        <f t="shared" si="0"/>
        <v>4.328795341739939</v>
      </c>
      <c r="G100" s="36">
        <f t="shared" si="1"/>
        <v>67.962086865317033</v>
      </c>
      <c r="H100" s="36">
        <f t="shared" si="8"/>
        <v>50.523918831459909</v>
      </c>
      <c r="I100" s="9">
        <f t="shared" si="2"/>
        <v>74.341329352621287</v>
      </c>
      <c r="J100" s="37">
        <f t="shared" si="9"/>
        <v>4772.4158533771388</v>
      </c>
      <c r="K100" s="38">
        <f t="shared" si="10"/>
        <v>50.523918831460009</v>
      </c>
      <c r="L100" s="2">
        <f t="shared" si="3"/>
        <v>10.597054571162895</v>
      </c>
      <c r="M100" s="38">
        <f t="shared" si="11"/>
        <v>74.305553497324041</v>
      </c>
      <c r="N100" s="38">
        <f t="shared" si="4"/>
        <v>58.693535686093526</v>
      </c>
      <c r="O100" s="38">
        <f t="shared" si="5"/>
        <v>18.018869880008758</v>
      </c>
      <c r="P100" s="34">
        <f t="shared" si="12"/>
        <v>10.448590886363869</v>
      </c>
    </row>
    <row r="101" spans="4:16">
      <c r="D101" s="65">
        <f t="shared" si="7"/>
        <v>727.85527293924565</v>
      </c>
      <c r="E101" s="162">
        <v>15.8</v>
      </c>
      <c r="F101" s="9">
        <f t="shared" si="0"/>
        <v>4.3726937551059155</v>
      </c>
      <c r="G101" s="36">
        <f t="shared" si="1"/>
        <v>69.088561330673471</v>
      </c>
      <c r="H101" s="36">
        <f t="shared" si="8"/>
        <v>51.331831790736594</v>
      </c>
      <c r="I101" s="9">
        <f t="shared" si="2"/>
        <v>74.298597050025165</v>
      </c>
      <c r="J101" s="37">
        <f t="shared" si="9"/>
        <v>4797.7195484069543</v>
      </c>
      <c r="K101" s="38">
        <f t="shared" si="10"/>
        <v>51.331831790736587</v>
      </c>
      <c r="L101" s="2">
        <f t="shared" si="3"/>
        <v>10.535105362167926</v>
      </c>
      <c r="M101" s="38">
        <f t="shared" si="11"/>
        <v>75.493751503440038</v>
      </c>
      <c r="N101" s="38">
        <f t="shared" si="4"/>
        <v>59.63208655869586</v>
      </c>
      <c r="O101" s="38">
        <f t="shared" si="5"/>
        <v>17.837974568633079</v>
      </c>
      <c r="P101" s="34">
        <f t="shared" si="12"/>
        <v>10.44456378974</v>
      </c>
    </row>
    <row r="102" spans="4:16">
      <c r="D102" s="65">
        <f t="shared" si="7"/>
        <v>735.53880162442658</v>
      </c>
      <c r="E102" s="162">
        <v>15.9</v>
      </c>
      <c r="F102" s="9">
        <f t="shared" si="0"/>
        <v>4.4167423638799654</v>
      </c>
      <c r="G102" s="36">
        <f t="shared" si="1"/>
        <v>70.226203585691451</v>
      </c>
      <c r="H102" s="36">
        <f t="shared" si="8"/>
        <v>52.146791876798652</v>
      </c>
      <c r="I102" s="9">
        <f t="shared" si="2"/>
        <v>74.25546194187767</v>
      </c>
      <c r="J102" s="37">
        <f t="shared" si="9"/>
        <v>4822.976382469451</v>
      </c>
      <c r="K102" s="38">
        <f t="shared" si="10"/>
        <v>52.146791876798673</v>
      </c>
      <c r="L102" s="2">
        <f t="shared" si="3"/>
        <v>10.473851127761835</v>
      </c>
      <c r="M102" s="38">
        <f t="shared" si="11"/>
        <v>76.692313722556023</v>
      </c>
      <c r="N102" s="38">
        <f t="shared" si="4"/>
        <v>60.57882406442242</v>
      </c>
      <c r="O102" s="38">
        <f t="shared" si="5"/>
        <v>17.660074682617331</v>
      </c>
      <c r="P102" s="34">
        <f t="shared" si="12"/>
        <v>10.44053512477312</v>
      </c>
    </row>
    <row r="103" spans="4:16">
      <c r="D103" s="65">
        <f t="shared" si="7"/>
        <v>743.24838431709554</v>
      </c>
      <c r="E103" s="162">
        <v>16</v>
      </c>
      <c r="F103" s="9">
        <f t="shared" si="0"/>
        <v>4.460940336680614</v>
      </c>
      <c r="G103" s="36">
        <f t="shared" si="1"/>
        <v>71.375045386889823</v>
      </c>
      <c r="H103" s="36">
        <f t="shared" si="8"/>
        <v>52.968804890819399</v>
      </c>
      <c r="I103" s="9">
        <f t="shared" si="2"/>
        <v>74.211938645644224</v>
      </c>
      <c r="J103" s="37">
        <f t="shared" si="9"/>
        <v>4848.1866149556481</v>
      </c>
      <c r="K103" s="38">
        <f t="shared" si="10"/>
        <v>52.968804890819342</v>
      </c>
      <c r="L103" s="2">
        <f t="shared" si="3"/>
        <v>10.413280724212548</v>
      </c>
      <c r="M103" s="38">
        <f t="shared" si="11"/>
        <v>77.901248686460164</v>
      </c>
      <c r="N103" s="38">
        <f t="shared" si="4"/>
        <v>61.53375494248435</v>
      </c>
      <c r="O103" s="38">
        <f t="shared" si="5"/>
        <v>17.48510271671551</v>
      </c>
      <c r="P103" s="34">
        <f t="shared" si="12"/>
        <v>10.436504889629441</v>
      </c>
    </row>
    <row r="104" spans="4:16">
      <c r="D104" s="65">
        <f t="shared" si="7"/>
        <v>750.98387732990716</v>
      </c>
      <c r="E104" s="162">
        <v>16.100000000000001</v>
      </c>
      <c r="F104" s="9">
        <f t="shared" si="0"/>
        <v>4.5052868497681313</v>
      </c>
      <c r="G104" s="36">
        <f t="shared" si="1"/>
        <v>72.535118281266918</v>
      </c>
      <c r="H104" s="36">
        <f t="shared" si="8"/>
        <v>53.797876498274896</v>
      </c>
      <c r="I104" s="9">
        <f t="shared" si="2"/>
        <v>74.168041319881411</v>
      </c>
      <c r="J104" s="37">
        <f t="shared" si="9"/>
        <v>4873.3505028723439</v>
      </c>
      <c r="K104" s="38">
        <f t="shared" si="10"/>
        <v>53.797876498274945</v>
      </c>
      <c r="L104" s="2">
        <f t="shared" si="3"/>
        <v>10.35338323180012</v>
      </c>
      <c r="M104" s="38">
        <f t="shared" si="11"/>
        <v>79.120564727371573</v>
      </c>
      <c r="N104" s="38">
        <f t="shared" si="4"/>
        <v>62.496885774454178</v>
      </c>
      <c r="O104" s="38">
        <f t="shared" si="5"/>
        <v>17.312993068136016</v>
      </c>
      <c r="P104" s="34">
        <f t="shared" si="12"/>
        <v>10.432473082471592</v>
      </c>
    </row>
    <row r="105" spans="4:16">
      <c r="D105" s="65">
        <f t="shared" si="7"/>
        <v>758.74513829139687</v>
      </c>
      <c r="E105" s="162">
        <v>16.2</v>
      </c>
      <c r="F105" s="9">
        <f t="shared" si="0"/>
        <v>4.5497810869465996</v>
      </c>
      <c r="G105" s="36">
        <f t="shared" si="1"/>
        <v>73.706453608534915</v>
      </c>
      <c r="H105" s="36">
        <f t="shared" si="8"/>
        <v>54.634012231136772</v>
      </c>
      <c r="I105" s="9">
        <f t="shared" si="2"/>
        <v>74.123783680199168</v>
      </c>
      <c r="J105" s="37">
        <f t="shared" si="9"/>
        <v>4898.4683008726606</v>
      </c>
      <c r="K105" s="38">
        <f t="shared" si="10"/>
        <v>54.634012231136779</v>
      </c>
      <c r="L105" s="2">
        <f t="shared" si="3"/>
        <v>10.294147949665254</v>
      </c>
      <c r="M105" s="38">
        <f t="shared" si="11"/>
        <v>80.350269981163279</v>
      </c>
      <c r="N105" s="38">
        <f t="shared" si="4"/>
        <v>63.46822298681203</v>
      </c>
      <c r="O105" s="38">
        <f t="shared" si="5"/>
        <v>17.143681972696083</v>
      </c>
      <c r="P105" s="34">
        <f t="shared" si="12"/>
        <v>10.428439701458622</v>
      </c>
    </row>
    <row r="106" spans="4:16">
      <c r="D106" s="65">
        <f t="shared" si="7"/>
        <v>766.53202612918074</v>
      </c>
      <c r="E106" s="162">
        <v>16.3</v>
      </c>
      <c r="F106" s="9">
        <f t="shared" si="0"/>
        <v>4.5944222394675114</v>
      </c>
      <c r="G106" s="36">
        <f t="shared" si="1"/>
        <v>74.889082503320438</v>
      </c>
      <c r="H106" s="36">
        <f t="shared" si="8"/>
        <v>55.477217490024309</v>
      </c>
      <c r="I106" s="9">
        <f t="shared" si="2"/>
        <v>74.079179014597429</v>
      </c>
      <c r="J106" s="37">
        <f t="shared" si="9"/>
        <v>4923.5402612861371</v>
      </c>
      <c r="K106" s="38">
        <f t="shared" si="10"/>
        <v>55.477217490024316</v>
      </c>
      <c r="L106" s="2">
        <f t="shared" si="3"/>
        <v>10.235564390780114</v>
      </c>
      <c r="M106" s="38">
        <f t="shared" si="11"/>
        <v>81.590372390528984</v>
      </c>
      <c r="N106" s="38">
        <f t="shared" si="4"/>
        <v>64.447772853446722</v>
      </c>
      <c r="O106" s="38">
        <f t="shared" si="5"/>
        <v>16.977107443446492</v>
      </c>
      <c r="P106" s="34">
        <f t="shared" si="12"/>
        <v>10.424404744745981</v>
      </c>
    </row>
    <row r="107" spans="4:16">
      <c r="D107" s="65">
        <f t="shared" si="7"/>
        <v>774.34440105341434</v>
      </c>
      <c r="E107" s="162">
        <v>16.399999999999999</v>
      </c>
      <c r="F107" s="9">
        <f t="shared" si="0"/>
        <v>4.6392095059349874</v>
      </c>
      <c r="G107" s="36">
        <f t="shared" si="1"/>
        <v>76.083035897333787</v>
      </c>
      <c r="H107" s="36">
        <f t="shared" si="8"/>
        <v>56.327497546317346</v>
      </c>
      <c r="I107" s="9">
        <f t="shared" si="2"/>
        <v>74.034240198203321</v>
      </c>
      <c r="J107" s="37">
        <f t="shared" si="9"/>
        <v>4948.5666341482838</v>
      </c>
      <c r="K107" s="38">
        <f t="shared" si="10"/>
        <v>56.327497546317495</v>
      </c>
      <c r="L107" s="2">
        <f t="shared" si="3"/>
        <v>10.17762227703837</v>
      </c>
      <c r="M107" s="38">
        <f t="shared" si="11"/>
        <v>82.840879708089986</v>
      </c>
      <c r="N107" s="38">
        <f t="shared" si="4"/>
        <v>65.435541498109757</v>
      </c>
      <c r="O107" s="38">
        <f t="shared" si="5"/>
        <v>16.813209211658542</v>
      </c>
      <c r="P107" s="34">
        <f t="shared" si="12"/>
        <v>10.420368210485515</v>
      </c>
    </row>
    <row r="108" spans="4:16">
      <c r="D108" s="65">
        <f t="shared" si="7"/>
        <v>782.18212454052912</v>
      </c>
      <c r="E108" s="162">
        <v>16.5</v>
      </c>
      <c r="F108" s="9">
        <f t="shared" si="0"/>
        <v>4.6841420922125625</v>
      </c>
      <c r="G108" s="36">
        <f t="shared" si="1"/>
        <v>77.288344521507284</v>
      </c>
      <c r="H108" s="36">
        <f t="shared" si="8"/>
        <v>57.184857544231306</v>
      </c>
      <c r="I108" s="9">
        <f t="shared" si="2"/>
        <v>73.988979707436073</v>
      </c>
      <c r="J108" s="37">
        <f t="shared" si="9"/>
        <v>4973.5476672296809</v>
      </c>
      <c r="K108" s="38">
        <f t="shared" si="10"/>
        <v>57.184857544231463</v>
      </c>
      <c r="L108" s="2">
        <f t="shared" si="3"/>
        <v>10.120311534462596</v>
      </c>
      <c r="M108" s="38">
        <f t="shared" si="11"/>
        <v>84.101799499446173</v>
      </c>
      <c r="N108" s="38">
        <f t="shared" si="4"/>
        <v>66.431534896825653</v>
      </c>
      <c r="O108" s="38">
        <f t="shared" si="5"/>
        <v>16.651928670070845</v>
      </c>
      <c r="P108" s="34">
        <f t="shared" si="12"/>
        <v>10.416330096825453</v>
      </c>
    </row>
    <row r="109" spans="4:16">
      <c r="D109" s="65">
        <f t="shared" si="7"/>
        <v>790.04505931723293</v>
      </c>
      <c r="E109" s="162">
        <v>16.600000000000001</v>
      </c>
      <c r="F109" s="9">
        <f t="shared" si="0"/>
        <v>4.7292192113314151</v>
      </c>
      <c r="G109" s="36">
        <f t="shared" si="1"/>
        <v>78.505038908101497</v>
      </c>
      <c r="H109" s="36">
        <f t="shared" si="8"/>
        <v>58.049302502853614</v>
      </c>
      <c r="I109" s="9">
        <f t="shared" si="2"/>
        <v>73.943409633624285</v>
      </c>
      <c r="J109" s="37">
        <f t="shared" si="9"/>
        <v>4998.4836060645994</v>
      </c>
      <c r="K109" s="38">
        <f t="shared" si="10"/>
        <v>58.049302502853593</v>
      </c>
      <c r="L109" s="2">
        <f t="shared" si="3"/>
        <v>10.063622288526789</v>
      </c>
      <c r="M109" s="38">
        <f t="shared" si="11"/>
        <v>85.373139146171994</v>
      </c>
      <c r="N109" s="38">
        <f t="shared" si="4"/>
        <v>67.435758880258206</v>
      </c>
      <c r="O109" s="38">
        <f t="shared" si="5"/>
        <v>16.493208818298928</v>
      </c>
      <c r="P109" s="34">
        <f t="shared" si="12"/>
        <v>10.412290401910399</v>
      </c>
    </row>
    <row r="110" spans="4:16">
      <c r="D110" s="65">
        <f t="shared" si="7"/>
        <v>797.93306934476948</v>
      </c>
      <c r="E110" s="162">
        <v>16.7</v>
      </c>
      <c r="F110" s="9">
        <f t="shared" si="0"/>
        <v>4.7744400834001146</v>
      </c>
      <c r="G110" s="36">
        <f t="shared" si="1"/>
        <v>79.733149392781911</v>
      </c>
      <c r="H110" s="36">
        <f t="shared" si="8"/>
        <v>58.920837318143768</v>
      </c>
      <c r="I110" s="9">
        <f t="shared" si="2"/>
        <v>73.897541696098813</v>
      </c>
      <c r="J110" s="37">
        <f t="shared" si="9"/>
        <v>5023.3746939791636</v>
      </c>
      <c r="K110" s="38">
        <f t="shared" si="10"/>
        <v>58.920837318143739</v>
      </c>
      <c r="L110" s="2">
        <f t="shared" si="3"/>
        <v>10.007544859591421</v>
      </c>
      <c r="M110" s="38">
        <f t="shared" si="11"/>
        <v>86.654905848757963</v>
      </c>
      <c r="N110" s="38">
        <f t="shared" si="4"/>
        <v>68.448219136034183</v>
      </c>
      <c r="O110" s="38">
        <f t="shared" si="5"/>
        <v>16.336994210314259</v>
      </c>
      <c r="P110" s="34">
        <f t="shared" si="12"/>
        <v>10.408249123881319</v>
      </c>
    </row>
    <row r="111" spans="4:16">
      <c r="D111" s="65">
        <f t="shared" si="7"/>
        <v>805.84601980342768</v>
      </c>
      <c r="E111" s="162">
        <v>16.8</v>
      </c>
      <c r="F111" s="9">
        <f t="shared" si="0"/>
        <v>4.8198039355158855</v>
      </c>
      <c r="G111" s="36">
        <f t="shared" si="1"/>
        <v>80.972706116666885</v>
      </c>
      <c r="H111" s="36">
        <f t="shared" si="8"/>
        <v>59.799466764897886</v>
      </c>
      <c r="I111" s="9">
        <f t="shared" si="2"/>
        <v>73.851387254784058</v>
      </c>
      <c r="J111" s="37">
        <f t="shared" si="9"/>
        <v>5048.2211721190442</v>
      </c>
      <c r="K111" s="38">
        <f t="shared" si="10"/>
        <v>59.79946676489795</v>
      </c>
      <c r="L111" s="2">
        <f t="shared" si="3"/>
        <v>9.952069758448614</v>
      </c>
      <c r="M111" s="38">
        <f t="shared" si="11"/>
        <v>87.947106629499245</v>
      </c>
      <c r="N111" s="38">
        <f t="shared" si="4"/>
        <v>69.468921211024664</v>
      </c>
      <c r="O111" s="38">
        <f t="shared" si="5"/>
        <v>16.183230903904249</v>
      </c>
      <c r="P111" s="34">
        <f t="shared" si="12"/>
        <v>10.40420626087554</v>
      </c>
    </row>
    <row r="112" spans="4:16">
      <c r="D112" s="65">
        <f t="shared" si="7"/>
        <v>813.78377707730181</v>
      </c>
      <c r="E112" s="162">
        <v>16.899999999999999</v>
      </c>
      <c r="F112" s="9">
        <f t="shared" si="0"/>
        <v>4.8653100016772068</v>
      </c>
      <c r="G112" s="36">
        <f t="shared" si="1"/>
        <v>82.223739028344795</v>
      </c>
      <c r="H112" s="36">
        <f t="shared" si="8"/>
        <v>60.685195498676926</v>
      </c>
      <c r="I112" s="9">
        <f t="shared" si="2"/>
        <v>73.804957322309392</v>
      </c>
      <c r="J112" s="37">
        <f t="shared" si="9"/>
        <v>5073.0232794767107</v>
      </c>
      <c r="K112" s="38">
        <f t="shared" si="10"/>
        <v>60.685195498677025</v>
      </c>
      <c r="L112" s="2">
        <f t="shared" si="3"/>
        <v>9.8971876819754936</v>
      </c>
      <c r="M112" s="38">
        <f t="shared" si="11"/>
        <v>89.249748335331375</v>
      </c>
      <c r="N112" s="38">
        <f t="shared" si="4"/>
        <v>70.497870513585298</v>
      </c>
      <c r="O112" s="38">
        <f t="shared" si="5"/>
        <v>16.031866412029501</v>
      </c>
      <c r="P112" s="34">
        <f t="shared" si="12"/>
        <v>10.400161811026724</v>
      </c>
    </row>
    <row r="113" spans="4:16">
      <c r="D113" s="65">
        <f t="shared" si="7"/>
        <v>821.74620873930212</v>
      </c>
      <c r="E113" s="162">
        <v>17</v>
      </c>
      <c r="F113" s="9">
        <f t="shared" si="0"/>
        <v>4.9109575226978563</v>
      </c>
      <c r="G113" s="36">
        <f t="shared" si="1"/>
        <v>83.486277885863558</v>
      </c>
      <c r="H113" s="36">
        <f t="shared" si="8"/>
        <v>61.578028057701083</v>
      </c>
      <c r="I113" s="9">
        <f t="shared" si="2"/>
        <v>73.758262575660808</v>
      </c>
      <c r="J113" s="37">
        <f t="shared" si="9"/>
        <v>5097.7812529182684</v>
      </c>
      <c r="K113" s="38">
        <f t="shared" si="10"/>
        <v>61.578028057701189</v>
      </c>
      <c r="L113" s="2">
        <f t="shared" si="3"/>
        <v>9.842889508893121</v>
      </c>
      <c r="M113" s="38">
        <f t="shared" si="11"/>
        <v>90.562837640617261</v>
      </c>
      <c r="N113" s="38">
        <f t="shared" si="4"/>
        <v>71.535072315757461</v>
      </c>
      <c r="O113" s="38">
        <f t="shared" si="5"/>
        <v>15.882849655997505</v>
      </c>
      <c r="P113" s="34">
        <f t="shared" si="12"/>
        <v>10.396115772464876</v>
      </c>
    </row>
    <row r="114" spans="4:16">
      <c r="D114" s="65">
        <f t="shared" si="7"/>
        <v>829.73318353639388</v>
      </c>
      <c r="E114" s="162">
        <v>17.100000000000001</v>
      </c>
      <c r="F114" s="9">
        <f t="shared" si="0"/>
        <v>4.9567457461223166</v>
      </c>
      <c r="G114" s="36">
        <f t="shared" si="1"/>
        <v>84.760352258691626</v>
      </c>
      <c r="H114" s="36">
        <f t="shared" si="8"/>
        <v>62.477968864709837</v>
      </c>
      <c r="I114" s="9">
        <f t="shared" si="2"/>
        <v>73.711313367392378</v>
      </c>
      <c r="J114" s="37">
        <f t="shared" si="9"/>
        <v>5122.4953272098373</v>
      </c>
      <c r="K114" s="38">
        <f t="shared" si="10"/>
        <v>62.477968864709936</v>
      </c>
      <c r="L114" s="2">
        <f t="shared" si="3"/>
        <v>9.7891662956286272</v>
      </c>
      <c r="M114" s="38">
        <f t="shared" si="11"/>
        <v>91.886381049882161</v>
      </c>
      <c r="N114" s="38">
        <f t="shared" si="4"/>
        <v>72.580531755428837</v>
      </c>
      <c r="O114" s="38">
        <f t="shared" si="5"/>
        <v>15.736130920376485</v>
      </c>
      <c r="P114" s="34">
        <f t="shared" si="12"/>
        <v>10.392068143316321</v>
      </c>
    </row>
    <row r="115" spans="4:16">
      <c r="D115" s="65">
        <f t="shared" si="7"/>
        <v>837.74457137507852</v>
      </c>
      <c r="E115" s="162">
        <v>17.2</v>
      </c>
      <c r="F115" s="9">
        <f t="shared" si="0"/>
        <v>5.0026739261425313</v>
      </c>
      <c r="G115" s="36">
        <f t="shared" si="1"/>
        <v>86.045991529651531</v>
      </c>
      <c r="H115" s="36">
        <f t="shared" si="8"/>
        <v>63.385022228789275</v>
      </c>
      <c r="I115" s="9">
        <f t="shared" si="2"/>
        <v>73.664119736416467</v>
      </c>
      <c r="J115" s="37">
        <f t="shared" si="9"/>
        <v>5147.1657350435298</v>
      </c>
      <c r="K115" s="38">
        <f t="shared" si="10"/>
        <v>63.385022228789317</v>
      </c>
      <c r="L115" s="2">
        <f t="shared" si="3"/>
        <v>9.7360092722784302</v>
      </c>
      <c r="M115" s="38">
        <f t="shared" si="11"/>
        <v>93.220384900501031</v>
      </c>
      <c r="N115" s="38">
        <f t="shared" si="4"/>
        <v>73.634253838456061</v>
      </c>
      <c r="O115" s="38">
        <f t="shared" si="5"/>
        <v>15.591661809576374</v>
      </c>
      <c r="P115" s="34">
        <f t="shared" si="12"/>
        <v>10.388018921703697</v>
      </c>
    </row>
    <row r="116" spans="4:16">
      <c r="D116" s="65">
        <f t="shared" si="7"/>
        <v>845.78024330710616</v>
      </c>
      <c r="E116" s="162">
        <v>17.3</v>
      </c>
      <c r="F116" s="9">
        <f t="shared" si="0"/>
        <v>5.0487413235159755</v>
      </c>
      <c r="G116" s="36">
        <f t="shared" si="1"/>
        <v>87.343224896826385</v>
      </c>
      <c r="H116" s="36">
        <f t="shared" si="8"/>
        <v>64.299192347166652</v>
      </c>
      <c r="I116" s="9">
        <f t="shared" si="2"/>
        <v>73.616691418389522</v>
      </c>
      <c r="J116" s="37">
        <f t="shared" si="9"/>
        <v>5171.7927070630158</v>
      </c>
      <c r="K116" s="38">
        <f t="shared" si="10"/>
        <v>64.299192347166723</v>
      </c>
      <c r="L116" s="2">
        <f t="shared" si="3"/>
        <v>9.6834098386701264</v>
      </c>
      <c r="M116" s="38">
        <f t="shared" si="11"/>
        <v>94.56485536533863</v>
      </c>
      <c r="N116" s="38">
        <f t="shared" si="4"/>
        <v>74.696243440749811</v>
      </c>
      <c r="O116" s="38">
        <f t="shared" si="5"/>
        <v>15.449395206027372</v>
      </c>
      <c r="P116" s="34">
        <f t="shared" si="12"/>
        <v>10.383968105745952</v>
      </c>
    </row>
    <row r="117" spans="4:16">
      <c r="D117" s="65">
        <f t="shared" si="7"/>
        <v>853.84007151540209</v>
      </c>
      <c r="E117" s="162">
        <v>17.399999999999999</v>
      </c>
      <c r="F117" s="9">
        <f t="shared" si="0"/>
        <v>5.0949472054850355</v>
      </c>
      <c r="G117" s="36">
        <f t="shared" si="1"/>
        <v>88.652081375439607</v>
      </c>
      <c r="H117" s="36">
        <f t="shared" si="8"/>
        <v>65.220483306973392</v>
      </c>
      <c r="I117" s="9">
        <f t="shared" si="2"/>
        <v>73.569037855711571</v>
      </c>
      <c r="J117" s="37">
        <f t="shared" si="9"/>
        <v>5196.3764718886678</v>
      </c>
      <c r="K117" s="38">
        <f t="shared" si="10"/>
        <v>65.220483306973364</v>
      </c>
      <c r="L117" s="2">
        <f t="shared" si="3"/>
        <v>9.6313595605207301</v>
      </c>
      <c r="M117" s="38">
        <f t="shared" si="11"/>
        <v>95.919798455340683</v>
      </c>
      <c r="N117" s="38">
        <f t="shared" si="4"/>
        <v>75.766505310322287</v>
      </c>
      <c r="O117" s="38">
        <f t="shared" si="5"/>
        <v>15.309285229889728</v>
      </c>
      <c r="P117" s="34">
        <f t="shared" si="12"/>
        <v>10.379915693558321</v>
      </c>
    </row>
    <row r="118" spans="4:16">
      <c r="D118" s="65">
        <f t="shared" si="7"/>
        <v>861.92392930023323</v>
      </c>
      <c r="E118" s="162">
        <v>17.5</v>
      </c>
      <c r="F118" s="9">
        <f t="shared" si="0"/>
        <v>5.1412908456976218</v>
      </c>
      <c r="G118" s="36">
        <f t="shared" si="1"/>
        <v>89.972589799708388</v>
      </c>
      <c r="H118" s="36">
        <f t="shared" si="8"/>
        <v>66.148899086976655</v>
      </c>
      <c r="I118" s="9">
        <f t="shared" si="2"/>
        <v>73.521168207154403</v>
      </c>
      <c r="J118" s="37">
        <f t="shared" si="9"/>
        <v>5220.9172561423411</v>
      </c>
      <c r="K118" s="38">
        <f t="shared" si="10"/>
        <v>66.148899086976584</v>
      </c>
      <c r="L118" s="2">
        <f t="shared" si="3"/>
        <v>9.5798501656893151</v>
      </c>
      <c r="M118" s="38">
        <f t="shared" si="11"/>
        <v>97.28522002208264</v>
      </c>
      <c r="N118" s="38">
        <f t="shared" si="4"/>
        <v>76.845044069299561</v>
      </c>
      <c r="O118" s="38">
        <f t="shared" si="5"/>
        <v>15.171287200231555</v>
      </c>
      <c r="P118" s="34">
        <f t="shared" si="12"/>
        <v>10.375861683252326</v>
      </c>
    </row>
    <row r="119" spans="4:16">
      <c r="D119" s="65">
        <f t="shared" si="7"/>
        <v>870.03169106557391</v>
      </c>
      <c r="E119" s="162">
        <v>17.600000000000001</v>
      </c>
      <c r="F119" s="9">
        <f t="shared" si="0"/>
        <v>5.1877715241290598</v>
      </c>
      <c r="G119" s="36">
        <f t="shared" si="1"/>
        <v>91.304778824671459</v>
      </c>
      <c r="H119" s="36">
        <f t="shared" si="8"/>
        <v>67.084443559280629</v>
      </c>
      <c r="I119" s="9">
        <f t="shared" si="2"/>
        <v>73.473091357134692</v>
      </c>
      <c r="J119" s="37">
        <f t="shared" si="9"/>
        <v>5245.4152844717346</v>
      </c>
      <c r="K119" s="38">
        <f t="shared" si="10"/>
        <v>67.084443559280714</v>
      </c>
      <c r="L119" s="2">
        <f t="shared" si="3"/>
        <v>9.5288735405214382</v>
      </c>
      <c r="M119" s="38">
        <f t="shared" si="11"/>
        <v>98.661125760269968</v>
      </c>
      <c r="N119" s="38">
        <f t="shared" si="4"/>
        <v>77.931864215897491</v>
      </c>
      <c r="O119" s="38">
        <f t="shared" si="5"/>
        <v>15.035357597614112</v>
      </c>
      <c r="P119" s="34">
        <f t="shared" si="12"/>
        <v>10.371806072935762</v>
      </c>
    </row>
    <row r="120" spans="4:16">
      <c r="D120" s="65">
        <f t="shared" si="7"/>
        <v>878.16323230569174</v>
      </c>
      <c r="E120" s="162">
        <v>17.7</v>
      </c>
      <c r="F120" s="9">
        <f t="shared" si="0"/>
        <v>5.2343885270052111</v>
      </c>
      <c r="G120" s="36">
        <f t="shared" si="1"/>
        <v>92.648676927992227</v>
      </c>
      <c r="H120" s="36">
        <f t="shared" si="8"/>
        <v>68.02712049099803</v>
      </c>
      <c r="I120" s="9">
        <f t="shared" si="2"/>
        <v>73.424815924645742</v>
      </c>
      <c r="J120" s="37">
        <f t="shared" si="9"/>
        <v>5269.870779574374</v>
      </c>
      <c r="K120" s="38">
        <f t="shared" si="10"/>
        <v>68.02712049099803</v>
      </c>
      <c r="L120" s="2">
        <f t="shared" si="3"/>
        <v>9.4784217262833845</v>
      </c>
      <c r="M120" s="38">
        <f t="shared" si="11"/>
        <v>100.04752121019692</v>
      </c>
      <c r="N120" s="38">
        <f t="shared" si="4"/>
        <v>79.02697012636294</v>
      </c>
      <c r="O120" s="38">
        <f t="shared" si="5"/>
        <v>14.901454028026976</v>
      </c>
      <c r="P120" s="34">
        <f t="shared" si="12"/>
        <v>10.367748860712688</v>
      </c>
    </row>
    <row r="121" spans="4:16">
      <c r="D121" s="65">
        <f t="shared" si="7"/>
        <v>886.31842959195058</v>
      </c>
      <c r="E121" s="162">
        <v>17.8</v>
      </c>
      <c r="F121" s="9">
        <f t="shared" si="0"/>
        <v>5.2811411467267293</v>
      </c>
      <c r="G121" s="36">
        <f t="shared" si="1"/>
        <v>94.004312411735782</v>
      </c>
      <c r="H121" s="36">
        <f t="shared" si="8"/>
        <v>68.976933545891967</v>
      </c>
      <c r="I121" s="9">
        <f t="shared" si="2"/>
        <v>73.376350271863359</v>
      </c>
      <c r="J121" s="37">
        <f t="shared" si="9"/>
        <v>5294.2839622212605</v>
      </c>
      <c r="K121" s="38">
        <f t="shared" si="10"/>
        <v>68.976933545891967</v>
      </c>
      <c r="L121" s="2">
        <f t="shared" si="3"/>
        <v>9.4284869156843047</v>
      </c>
      <c r="M121" s="38">
        <f t="shared" si="11"/>
        <v>101.44441176016208</v>
      </c>
      <c r="N121" s="38">
        <f t="shared" si="4"/>
        <v>80.130366056882522</v>
      </c>
      <c r="O121" s="38">
        <f t="shared" si="5"/>
        <v>14.769535188118327</v>
      </c>
      <c r="P121" s="34">
        <f t="shared" si="12"/>
        <v>10.363690044683411</v>
      </c>
    </row>
    <row r="122" spans="4:16">
      <c r="D122" s="65">
        <f t="shared" si="7"/>
        <v>894.49716055980321</v>
      </c>
      <c r="E122" s="162">
        <v>17.899999999999999</v>
      </c>
      <c r="F122" s="9">
        <f t="shared" si="0"/>
        <v>5.3280286817945584</v>
      </c>
      <c r="G122" s="36">
        <f t="shared" si="1"/>
        <v>95.371713404122588</v>
      </c>
      <c r="H122" s="36">
        <f t="shared" si="8"/>
        <v>69.933886285989345</v>
      </c>
      <c r="I122" s="9">
        <f t="shared" si="2"/>
        <v>73.327702512437341</v>
      </c>
      <c r="J122" s="37">
        <f t="shared" si="9"/>
        <v>5318.6550512800968</v>
      </c>
      <c r="K122" s="38">
        <f t="shared" si="10"/>
        <v>69.933886285989459</v>
      </c>
      <c r="L122" s="2">
        <f t="shared" si="3"/>
        <v>9.3790614494835864</v>
      </c>
      <c r="M122" s="38">
        <f t="shared" si="11"/>
        <v>102.85180264884053</v>
      </c>
      <c r="N122" s="38">
        <f t="shared" si="4"/>
        <v>81.242056145455848</v>
      </c>
      <c r="O122" s="38">
        <f t="shared" si="5"/>
        <v>14.639560831667382</v>
      </c>
      <c r="P122" s="34">
        <f t="shared" si="12"/>
        <v>10.359629622944485</v>
      </c>
    </row>
    <row r="123" spans="4:16">
      <c r="D123" s="65">
        <f t="shared" si="7"/>
        <v>902.69930389599358</v>
      </c>
      <c r="E123" s="162">
        <v>18</v>
      </c>
      <c r="F123" s="9">
        <f t="shared" si="0"/>
        <v>5.3750504367365739</v>
      </c>
      <c r="G123" s="36">
        <f t="shared" si="1"/>
        <v>96.750907861258327</v>
      </c>
      <c r="H123" s="36">
        <f t="shared" si="8"/>
        <v>70.897982173166554</v>
      </c>
      <c r="I123" s="9">
        <f t="shared" si="2"/>
        <v>73.278880519482982</v>
      </c>
      <c r="J123" s="37">
        <f t="shared" si="9"/>
        <v>5342.9842637381889</v>
      </c>
      <c r="K123" s="38">
        <f t="shared" si="10"/>
        <v>70.897982173166682</v>
      </c>
      <c r="L123" s="2">
        <f t="shared" si="3"/>
        <v>9.3301378131817891</v>
      </c>
      <c r="M123" s="38">
        <f t="shared" si="11"/>
        <v>104.26969896761524</v>
      </c>
      <c r="N123" s="38">
        <f t="shared" si="4"/>
        <v>82.36204441373755</v>
      </c>
      <c r="O123" s="38">
        <f t="shared" si="5"/>
        <v>14.511491737249107</v>
      </c>
      <c r="P123" s="34">
        <f t="shared" si="12"/>
        <v>10.355567593588695</v>
      </c>
    </row>
    <row r="124" spans="4:16">
      <c r="D124" s="65">
        <f t="shared" si="7"/>
        <v>910.92473932595578</v>
      </c>
      <c r="E124" s="162">
        <v>18.100000000000001</v>
      </c>
      <c r="F124" s="9">
        <f t="shared" si="0"/>
        <v>5.4222057220353026</v>
      </c>
      <c r="G124" s="36">
        <f t="shared" si="1"/>
        <v>98.14192356883899</v>
      </c>
      <c r="H124" s="36">
        <f t="shared" si="8"/>
        <v>71.869224570706734</v>
      </c>
      <c r="I124" s="9">
        <f t="shared" si="2"/>
        <v>73.229891933283753</v>
      </c>
      <c r="J124" s="37">
        <f t="shared" si="9"/>
        <v>5367.2718147249861</v>
      </c>
      <c r="K124" s="38">
        <f t="shared" si="10"/>
        <v>71.869224570706791</v>
      </c>
      <c r="L124" s="2">
        <f t="shared" si="3"/>
        <v>9.2817086337931034</v>
      </c>
      <c r="M124" s="38">
        <f t="shared" si="11"/>
        <v>105.69810566286849</v>
      </c>
      <c r="N124" s="38">
        <f t="shared" si="4"/>
        <v>83.490334768846964</v>
      </c>
      <c r="O124" s="38">
        <f t="shared" si="5"/>
        <v>14.385289677043383</v>
      </c>
      <c r="P124" s="34">
        <f t="shared" si="12"/>
        <v>10.351503954705054</v>
      </c>
    </row>
    <row r="125" spans="4:16">
      <c r="D125" s="65">
        <f t="shared" si="7"/>
        <v>919.17334760140784</v>
      </c>
      <c r="E125" s="162">
        <v>18.2</v>
      </c>
      <c r="F125" s="9">
        <f t="shared" si="0"/>
        <v>5.4694938540567959</v>
      </c>
      <c r="G125" s="36">
        <f t="shared" si="1"/>
        <v>99.544788143833685</v>
      </c>
      <c r="H125" s="36">
        <f t="shared" si="8"/>
        <v>72.847616744830717</v>
      </c>
      <c r="I125" s="9">
        <f t="shared" si="2"/>
        <v>73.180744168717453</v>
      </c>
      <c r="J125" s="37">
        <f t="shared" si="9"/>
        <v>5391.5179175342801</v>
      </c>
      <c r="K125" s="38">
        <f t="shared" si="10"/>
        <v>72.847616744830859</v>
      </c>
      <c r="L125" s="2">
        <f t="shared" si="3"/>
        <v>9.2337666766971385</v>
      </c>
      <c r="M125" s="38">
        <f t="shared" si="11"/>
        <v>107.13702753823311</v>
      </c>
      <c r="N125" s="38">
        <f t="shared" si="4"/>
        <v>84.626931005146616</v>
      </c>
      <c r="O125" s="38">
        <f t="shared" si="5"/>
        <v>14.260917386742536</v>
      </c>
      <c r="P125" s="34">
        <f t="shared" si="12"/>
        <v>10.347438704378769</v>
      </c>
    </row>
    <row r="126" spans="4:16">
      <c r="D126" s="65">
        <f t="shared" ref="D126:D189" si="13">$C$60*0.6*((0.6*3.1416*($B$61*0.0254)^2*K126^2)^(1/3))/9.81*1000</f>
        <v>927.44501048813049</v>
      </c>
      <c r="E126" s="162">
        <v>18.3</v>
      </c>
      <c r="F126" s="9">
        <f t="shared" ref="F126:F189" si="14">(0.5+(0.00000036*$B$65*$B$68^3*($B$62*0.0254)*($B$61*0.0254)^4)*($B$69+$B$70)*$E126-(0.25-(0.00000036*$B$65*$B$68^3*($B$62*0.0254)*($B$61*0.0254)^4)*(($B$69+$B$70)^2*$B$63-($B$69+$B$70)*$E126))^(1/2))/((0.00000036*$B$65*$B$68^3*($B$62*0.0254)*($B$61*0.0254)^4)*($B$69+$B$70)^2)</f>
        <v>5.5169141549806193</v>
      </c>
      <c r="G126" s="36">
        <f t="shared" ref="G126:G189" si="15">E126*F126</f>
        <v>100.95952903614534</v>
      </c>
      <c r="H126" s="36">
        <f t="shared" ref="H126:H189" si="16">(E126-($B$69+$B$70)*F126)*(F126-$B$63)</f>
        <v>73.833161866201806</v>
      </c>
      <c r="I126" s="9">
        <f t="shared" ref="I126:I189" si="17">H126/G126*100</f>
        <v>73.131444422416223</v>
      </c>
      <c r="J126" s="37">
        <f t="shared" ref="J126:J189" si="18">$B$68*(E126-(F126*($B$69+$B$70)))</f>
        <v>5415.7227836460461</v>
      </c>
      <c r="K126" s="38">
        <f t="shared" ref="K126:K189" si="19">(($B$61*0.0254)^4)*($B$62*0.0254)*(J126^3)*2*$B$65*0.00000018</f>
        <v>73.833161866201877</v>
      </c>
      <c r="L126" s="2">
        <f t="shared" ref="L126:L189" si="20">D126/G126</f>
        <v>9.1863048425680383</v>
      </c>
      <c r="M126" s="38">
        <f t="shared" ref="M126:M189" si="21">1.30652287/($B$61*0.0254)*POWER(D126*0.00981,3/2)</f>
        <v>108.5864692568051</v>
      </c>
      <c r="N126" s="38">
        <f t="shared" ref="N126:N189" si="22">POWER(J126/$B$64,3)*100</f>
        <v>85.771836805989309</v>
      </c>
      <c r="O126" s="38">
        <f t="shared" ref="O126:O188" si="23">0.65*60*O$58/(F126*1000)</f>
        <v>14.138338536513627</v>
      </c>
      <c r="P126" s="34">
        <f t="shared" ref="P126:P157" si="24">($B$69*$B$63+SQRT($B$69^2*$B$63^2+4*$B$69*($U$58-(E126*$B$63))))/(2*$B$69)</f>
        <v>10.34337184069126</v>
      </c>
    </row>
    <row r="127" spans="4:16">
      <c r="D127" s="65">
        <f t="shared" si="13"/>
        <v>935.73961075393686</v>
      </c>
      <c r="E127" s="162">
        <v>18.399999999999999</v>
      </c>
      <c r="F127" s="9">
        <f t="shared" si="14"/>
        <v>5.5644659527308313</v>
      </c>
      <c r="G127" s="36">
        <f t="shared" si="15"/>
        <v>102.38617353024729</v>
      </c>
      <c r="H127" s="36">
        <f t="shared" si="16"/>
        <v>74.825863011403712</v>
      </c>
      <c r="I127" s="9">
        <f t="shared" si="17"/>
        <v>73.081999679671966</v>
      </c>
      <c r="J127" s="37">
        <f t="shared" si="18"/>
        <v>5439.8866227479803</v>
      </c>
      <c r="K127" s="38">
        <f t="shared" si="19"/>
        <v>74.825863011403754</v>
      </c>
      <c r="L127" s="2">
        <f t="shared" si="20"/>
        <v>9.1393161643793377</v>
      </c>
      <c r="M127" s="38">
        <f t="shared" si="21"/>
        <v>110.04643534331784</v>
      </c>
      <c r="N127" s="38">
        <f t="shared" si="22"/>
        <v>86.925055745436524</v>
      </c>
      <c r="O127" s="38">
        <f t="shared" si="23"/>
        <v>14.017517702973908</v>
      </c>
      <c r="P127" s="34">
        <f t="shared" si="24"/>
        <v>10.339303361720139</v>
      </c>
    </row>
    <row r="128" spans="4:16">
      <c r="D128" s="65">
        <f t="shared" si="13"/>
        <v>944.05703215682331</v>
      </c>
      <c r="E128" s="162">
        <v>18.5</v>
      </c>
      <c r="F128" s="9">
        <f t="shared" si="14"/>
        <v>5.6121485809080811</v>
      </c>
      <c r="G128" s="36">
        <f t="shared" si="15"/>
        <v>103.8247487467995</v>
      </c>
      <c r="H128" s="36">
        <f t="shared" si="16"/>
        <v>75.825723164393906</v>
      </c>
      <c r="I128" s="9">
        <f t="shared" si="17"/>
        <v>73.032416721096382</v>
      </c>
      <c r="J128" s="37">
        <f t="shared" si="18"/>
        <v>5464.0096427566777</v>
      </c>
      <c r="K128" s="38">
        <f t="shared" si="19"/>
        <v>75.825723164393864</v>
      </c>
      <c r="L128" s="2">
        <f t="shared" si="20"/>
        <v>9.0927938044822358</v>
      </c>
      <c r="M128" s="38">
        <f t="shared" si="21"/>
        <v>111.516930186279</v>
      </c>
      <c r="N128" s="38">
        <f t="shared" si="22"/>
        <v>88.086591289945517</v>
      </c>
      <c r="O128" s="38">
        <f t="shared" si="23"/>
        <v>13.898420342139106</v>
      </c>
      <c r="P128" s="34">
        <f t="shared" si="24"/>
        <v>10.335233265539188</v>
      </c>
    </row>
    <row r="129" spans="4:16">
      <c r="D129" s="65">
        <f t="shared" si="13"/>
        <v>952.397159433301</v>
      </c>
      <c r="E129" s="162">
        <v>18.600000000000001</v>
      </c>
      <c r="F129" s="9">
        <f t="shared" si="14"/>
        <v>5.6599613787226914</v>
      </c>
      <c r="G129" s="36">
        <f t="shared" si="15"/>
        <v>105.27528164424207</v>
      </c>
      <c r="H129" s="36">
        <f t="shared" si="16"/>
        <v>76.832745217931716</v>
      </c>
      <c r="I129" s="9">
        <f t="shared" si="17"/>
        <v>72.982702129046274</v>
      </c>
      <c r="J129" s="37">
        <f t="shared" si="18"/>
        <v>5488.0920498385203</v>
      </c>
      <c r="K129" s="38">
        <f t="shared" si="19"/>
        <v>76.832745217931802</v>
      </c>
      <c r="L129" s="2">
        <f t="shared" si="20"/>
        <v>9.0467310517557884</v>
      </c>
      <c r="M129" s="38">
        <f t="shared" si="21"/>
        <v>112.99795804007148</v>
      </c>
      <c r="N129" s="38">
        <f t="shared" si="22"/>
        <v>89.256446800029309</v>
      </c>
      <c r="O129" s="38">
        <f t="shared" si="23"/>
        <v>13.781012763306629</v>
      </c>
      <c r="P129" s="34">
        <f t="shared" si="24"/>
        <v>10.331161550218365</v>
      </c>
    </row>
    <row r="130" spans="4:16">
      <c r="D130" s="65">
        <f t="shared" si="13"/>
        <v>960.75987828689836</v>
      </c>
      <c r="E130" s="162">
        <v>18.7</v>
      </c>
      <c r="F130" s="9">
        <f t="shared" si="14"/>
        <v>5.7079036909288021</v>
      </c>
      <c r="G130" s="36">
        <f t="shared" si="15"/>
        <v>106.7377990203686</v>
      </c>
      <c r="H130" s="36">
        <f t="shared" si="16"/>
        <v>77.846931974982283</v>
      </c>
      <c r="I130" s="9">
        <f t="shared" si="17"/>
        <v>72.932862293822339</v>
      </c>
      <c r="J130" s="37">
        <f t="shared" si="18"/>
        <v>5512.1340484302127</v>
      </c>
      <c r="K130" s="38">
        <f t="shared" si="19"/>
        <v>77.84693197498224</v>
      </c>
      <c r="L130" s="2">
        <f t="shared" si="20"/>
        <v>9.0011213188268773</v>
      </c>
      <c r="M130" s="38">
        <f t="shared" si="21"/>
        <v>114.48952302701719</v>
      </c>
      <c r="N130" s="38">
        <f t="shared" si="22"/>
        <v>90.43462553188651</v>
      </c>
      <c r="O130" s="38">
        <f t="shared" si="23"/>
        <v>13.665262103836877</v>
      </c>
      <c r="P130" s="34">
        <f t="shared" si="24"/>
        <v>10.327088213823782</v>
      </c>
    </row>
    <row r="131" spans="4:16">
      <c r="D131" s="65">
        <f t="shared" si="13"/>
        <v>969.14507537684926</v>
      </c>
      <c r="E131" s="162">
        <v>18.8</v>
      </c>
      <c r="F131" s="9">
        <f t="shared" si="14"/>
        <v>5.755974867759428</v>
      </c>
      <c r="G131" s="36">
        <f t="shared" si="15"/>
        <v>108.21232751387726</v>
      </c>
      <c r="H131" s="36">
        <f t="shared" si="16"/>
        <v>78.868286150096225</v>
      </c>
      <c r="I131" s="9">
        <f t="shared" si="17"/>
        <v>72.882903419651583</v>
      </c>
      <c r="J131" s="37">
        <f t="shared" si="18"/>
        <v>5536.1358412590589</v>
      </c>
      <c r="K131" s="38">
        <f t="shared" si="19"/>
        <v>78.868286150096296</v>
      </c>
      <c r="L131" s="2">
        <f t="shared" si="20"/>
        <v>8.9559581393586161</v>
      </c>
      <c r="M131" s="38">
        <f t="shared" si="21"/>
        <v>115.99162913940756</v>
      </c>
      <c r="N131" s="38">
        <f t="shared" si="22"/>
        <v>91.621130639005543</v>
      </c>
      <c r="O131" s="38">
        <f t="shared" si="23"/>
        <v>13.55113630479806</v>
      </c>
      <c r="P131" s="34">
        <f t="shared" si="24"/>
        <v>10.323013254417701</v>
      </c>
    </row>
    <row r="132" spans="4:16">
      <c r="D132" s="65">
        <f t="shared" si="13"/>
        <v>977.55263830693207</v>
      </c>
      <c r="E132" s="162">
        <v>18.899999999999999</v>
      </c>
      <c r="F132" s="9">
        <f t="shared" si="14"/>
        <v>5.8041742648625787</v>
      </c>
      <c r="G132" s="36">
        <f t="shared" si="15"/>
        <v>109.69889360590273</v>
      </c>
      <c r="H132" s="36">
        <f t="shared" si="16"/>
        <v>79.896810370766289</v>
      </c>
      <c r="I132" s="9">
        <f t="shared" si="17"/>
        <v>72.832831530460552</v>
      </c>
      <c r="J132" s="37">
        <f t="shared" si="18"/>
        <v>5560.0976293628746</v>
      </c>
      <c r="K132" s="38">
        <f t="shared" si="19"/>
        <v>79.896810370766246</v>
      </c>
      <c r="L132" s="2">
        <f t="shared" si="20"/>
        <v>8.9112351654049089</v>
      </c>
      <c r="M132" s="38">
        <f t="shared" si="21"/>
        <v>117.50428024149699</v>
      </c>
      <c r="N132" s="38">
        <f t="shared" si="22"/>
        <v>92.81596517373913</v>
      </c>
      <c r="O132" s="38">
        <f t="shared" si="23"/>
        <v>13.438604087440636</v>
      </c>
      <c r="P132" s="34">
        <f t="shared" si="24"/>
        <v>10.318936670058518</v>
      </c>
    </row>
    <row r="133" spans="4:16">
      <c r="D133" s="65">
        <f t="shared" si="13"/>
        <v>985.98245561449664</v>
      </c>
      <c r="E133" s="162">
        <v>19</v>
      </c>
      <c r="F133" s="9">
        <f t="shared" si="14"/>
        <v>5.8525012432382537</v>
      </c>
      <c r="G133" s="36">
        <f t="shared" si="15"/>
        <v>111.19752362152683</v>
      </c>
      <c r="H133" s="36">
        <f t="shared" si="16"/>
        <v>80.932507178760702</v>
      </c>
      <c r="I133" s="9">
        <f t="shared" si="17"/>
        <v>72.782652475448572</v>
      </c>
      <c r="J133" s="37">
        <f t="shared" si="18"/>
        <v>5584.0196121096651</v>
      </c>
      <c r="K133" s="38">
        <f t="shared" si="19"/>
        <v>80.932507178760716</v>
      </c>
      <c r="L133" s="2">
        <f t="shared" si="20"/>
        <v>8.866946164830054</v>
      </c>
      <c r="M133" s="38">
        <f t="shared" si="21"/>
        <v>119.02748007146585</v>
      </c>
      <c r="N133" s="38">
        <f t="shared" si="22"/>
        <v>94.01913208885469</v>
      </c>
      <c r="O133" s="38">
        <f t="shared" si="23"/>
        <v>13.327634930469786</v>
      </c>
      <c r="P133" s="34">
        <f t="shared" si="24"/>
        <v>10.314858458800755</v>
      </c>
    </row>
    <row r="134" spans="4:16">
      <c r="D134" s="65">
        <f t="shared" si="13"/>
        <v>994.43441675963561</v>
      </c>
      <c r="E134" s="162">
        <v>19.100000000000001</v>
      </c>
      <c r="F134" s="9">
        <f t="shared" si="14"/>
        <v>5.9009551691764424</v>
      </c>
      <c r="G134" s="36">
        <f t="shared" si="15"/>
        <v>112.70824373127006</v>
      </c>
      <c r="H134" s="36">
        <f t="shared" si="16"/>
        <v>81.975379031434144</v>
      </c>
      <c r="I134" s="9">
        <f t="shared" si="17"/>
        <v>72.732371934468077</v>
      </c>
      <c r="J134" s="37">
        <f t="shared" si="18"/>
        <v>5607.9019872169501</v>
      </c>
      <c r="K134" s="38">
        <f t="shared" si="19"/>
        <v>81.975379031434173</v>
      </c>
      <c r="L134" s="2">
        <f t="shared" si="20"/>
        <v>8.8230850187911969</v>
      </c>
      <c r="M134" s="38">
        <f t="shared" si="21"/>
        <v>120.56123224334664</v>
      </c>
      <c r="N134" s="38">
        <f t="shared" si="22"/>
        <v>95.230634239056016</v>
      </c>
      <c r="O134" s="38">
        <f t="shared" si="23"/>
        <v>13.218199048084946</v>
      </c>
      <c r="P134" s="34">
        <f t="shared" si="24"/>
        <v>10.31077861869505</v>
      </c>
    </row>
    <row r="135" spans="4:16">
      <c r="D135" s="65">
        <f t="shared" si="13"/>
        <v>1002.9084121145302</v>
      </c>
      <c r="E135" s="162">
        <v>19.2</v>
      </c>
      <c r="F135" s="9">
        <f t="shared" si="14"/>
        <v>5.9495354141959993</v>
      </c>
      <c r="G135" s="36">
        <f t="shared" si="15"/>
        <v>114.23107995256318</v>
      </c>
      <c r="H135" s="36">
        <f t="shared" si="16"/>
        <v>83.025428303016639</v>
      </c>
      <c r="I135" s="9">
        <f t="shared" si="17"/>
        <v>72.681995423219902</v>
      </c>
      <c r="J135" s="37">
        <f t="shared" si="18"/>
        <v>5631.744950770847</v>
      </c>
      <c r="K135" s="38">
        <f t="shared" si="19"/>
        <v>83.025428303016668</v>
      </c>
      <c r="L135" s="2">
        <f t="shared" si="20"/>
        <v>8.7796457192824295</v>
      </c>
      <c r="M135" s="38">
        <f t="shared" si="21"/>
        <v>122.10554024892076</v>
      </c>
      <c r="N135" s="38">
        <f t="shared" si="22"/>
        <v>96.450474382481474</v>
      </c>
      <c r="O135" s="38">
        <f t="shared" si="23"/>
        <v>13.11026736875734</v>
      </c>
      <c r="P135" s="34">
        <f t="shared" si="24"/>
        <v>10.306697147788144</v>
      </c>
    </row>
    <row r="136" spans="4:16">
      <c r="D136" s="65">
        <f t="shared" si="13"/>
        <v>1011.404332952948</v>
      </c>
      <c r="E136" s="162">
        <v>19.3</v>
      </c>
      <c r="F136" s="9">
        <f t="shared" si="14"/>
        <v>5.9982413549844482</v>
      </c>
      <c r="G136" s="36">
        <f t="shared" si="15"/>
        <v>115.76605815119986</v>
      </c>
      <c r="H136" s="36">
        <f t="shared" si="16"/>
        <v>84.082657285880828</v>
      </c>
      <c r="I136" s="9">
        <f t="shared" si="17"/>
        <v>72.631528298270339</v>
      </c>
      <c r="J136" s="37">
        <f t="shared" si="18"/>
        <v>5655.5486972448525</v>
      </c>
      <c r="K136" s="38">
        <f t="shared" si="19"/>
        <v>84.082657285880899</v>
      </c>
      <c r="L136" s="2">
        <f t="shared" si="20"/>
        <v>8.7366223667387199</v>
      </c>
      <c r="M136" s="38">
        <f t="shared" si="21"/>
        <v>123.66040745958182</v>
      </c>
      <c r="N136" s="38">
        <f t="shared" si="22"/>
        <v>97.678655182175802</v>
      </c>
      <c r="O136" s="38">
        <f t="shared" si="23"/>
        <v>13.003811514717254</v>
      </c>
      <c r="P136" s="34">
        <f t="shared" si="24"/>
        <v>10.302614044122874</v>
      </c>
    </row>
    <row r="137" spans="4:16">
      <c r="D137" s="65">
        <f t="shared" si="13"/>
        <v>1019.9220714398942</v>
      </c>
      <c r="E137" s="162">
        <v>19.399999999999999</v>
      </c>
      <c r="F137" s="9">
        <f t="shared" si="14"/>
        <v>6.0470723733386533</v>
      </c>
      <c r="G137" s="36">
        <f t="shared" si="15"/>
        <v>117.31320404276987</v>
      </c>
      <c r="H137" s="36">
        <f t="shared" si="16"/>
        <v>85.147068191787596</v>
      </c>
      <c r="I137" s="9">
        <f t="shared" si="17"/>
        <v>72.580975761897022</v>
      </c>
      <c r="J137" s="37">
        <f t="shared" si="18"/>
        <v>5679.3134195183393</v>
      </c>
      <c r="K137" s="38">
        <f t="shared" si="19"/>
        <v>85.147068191787724</v>
      </c>
      <c r="L137" s="2">
        <f t="shared" si="20"/>
        <v>8.6940091676982298</v>
      </c>
      <c r="M137" s="38">
        <f t="shared" si="21"/>
        <v>125.22583712816787</v>
      </c>
      <c r="N137" s="38">
        <f t="shared" si="22"/>
        <v>98.915179207537179</v>
      </c>
      <c r="O137" s="38">
        <f t="shared" si="23"/>
        <v>12.898803782124302</v>
      </c>
      <c r="P137" s="34">
        <f t="shared" si="24"/>
        <v>10.298529305738157</v>
      </c>
    </row>
    <row r="138" spans="4:16">
      <c r="D138" s="65">
        <f t="shared" si="13"/>
        <v>1028.4615206214189</v>
      </c>
      <c r="E138" s="162">
        <v>19.5</v>
      </c>
      <c r="F138" s="9">
        <f t="shared" si="14"/>
        <v>6.0960278561064074</v>
      </c>
      <c r="G138" s="36">
        <f t="shared" si="15"/>
        <v>118.87254319407495</v>
      </c>
      <c r="H138" s="36">
        <f t="shared" si="16"/>
        <v>86.218663153111748</v>
      </c>
      <c r="I138" s="9">
        <f t="shared" si="17"/>
        <v>72.530342866769942</v>
      </c>
      <c r="J138" s="37">
        <f t="shared" si="18"/>
        <v>5703.0393088948013</v>
      </c>
      <c r="K138" s="38">
        <f t="shared" si="19"/>
        <v>86.218663153111805</v>
      </c>
      <c r="L138" s="2">
        <f t="shared" si="20"/>
        <v>8.6518004325214211</v>
      </c>
      <c r="M138" s="38">
        <f t="shared" si="21"/>
        <v>126.80183239076312</v>
      </c>
      <c r="N138" s="38">
        <f t="shared" si="22"/>
        <v>100.16004893574109</v>
      </c>
      <c r="O138" s="38">
        <f t="shared" si="23"/>
        <v>12.795217121894741</v>
      </c>
      <c r="P138" s="34">
        <f t="shared" si="24"/>
        <v>10.294442930668975</v>
      </c>
    </row>
    <row r="139" spans="4:16">
      <c r="D139" s="65">
        <f t="shared" si="13"/>
        <v>1037.0225744145728</v>
      </c>
      <c r="E139" s="162">
        <v>19.600000000000001</v>
      </c>
      <c r="F139" s="9">
        <f t="shared" si="14"/>
        <v>6.1451071951287997</v>
      </c>
      <c r="G139" s="36">
        <f t="shared" si="15"/>
        <v>120.44410102452449</v>
      </c>
      <c r="H139" s="36">
        <f t="shared" si="16"/>
        <v>87.297444224046089</v>
      </c>
      <c r="I139" s="9">
        <f t="shared" si="17"/>
        <v>72.479634520474207</v>
      </c>
      <c r="J139" s="37">
        <f t="shared" si="18"/>
        <v>5726.7265551198152</v>
      </c>
      <c r="K139" s="38">
        <f t="shared" si="19"/>
        <v>87.297444224046117</v>
      </c>
      <c r="L139" s="2">
        <f t="shared" si="20"/>
        <v>8.6099905731656978</v>
      </c>
      <c r="M139" s="38">
        <f t="shared" si="21"/>
        <v>128.38839626847042</v>
      </c>
      <c r="N139" s="38">
        <f t="shared" si="22"/>
        <v>101.41326675313927</v>
      </c>
      <c r="O139" s="38">
        <f t="shared" si="23"/>
        <v>12.693025121161478</v>
      </c>
      <c r="P139" s="34">
        <f t="shared" si="24"/>
        <v>10.290354916946384</v>
      </c>
    </row>
    <row r="140" spans="4:16">
      <c r="D140" s="65">
        <f t="shared" si="13"/>
        <v>1045.6051275975074</v>
      </c>
      <c r="E140" s="162">
        <v>19.7</v>
      </c>
      <c r="F140" s="9">
        <f t="shared" si="14"/>
        <v>6.1943097871835047</v>
      </c>
      <c r="G140" s="36">
        <f t="shared" si="15"/>
        <v>122.02790280751503</v>
      </c>
      <c r="H140" s="36">
        <f t="shared" si="16"/>
        <v>88.383413381786511</v>
      </c>
      <c r="I140" s="9">
        <f t="shared" si="17"/>
        <v>72.428855489880178</v>
      </c>
      <c r="J140" s="37">
        <f t="shared" si="18"/>
        <v>5750.3753463987459</v>
      </c>
      <c r="K140" s="38">
        <f t="shared" si="19"/>
        <v>88.383413381786525</v>
      </c>
      <c r="L140" s="2">
        <f t="shared" si="20"/>
        <v>8.5685741010138408</v>
      </c>
      <c r="M140" s="38">
        <f t="shared" si="21"/>
        <v>129.98553166915266</v>
      </c>
      <c r="N140" s="38">
        <f t="shared" si="22"/>
        <v>102.67483495663625</v>
      </c>
      <c r="O140" s="38">
        <f t="shared" si="23"/>
        <v>12.592201985342726</v>
      </c>
      <c r="P140" s="34">
        <f t="shared" si="24"/>
        <v>10.286265262597475</v>
      </c>
    </row>
    <row r="141" spans="4:16">
      <c r="D141" s="65">
        <f t="shared" si="13"/>
        <v>1054.2090757997225</v>
      </c>
      <c r="E141" s="162">
        <v>19.8</v>
      </c>
      <c r="F141" s="9">
        <f t="shared" si="14"/>
        <v>6.2436350339288609</v>
      </c>
      <c r="G141" s="36">
        <f t="shared" si="15"/>
        <v>123.62397367179145</v>
      </c>
      <c r="H141" s="36">
        <f t="shared" si="16"/>
        <v>89.476572527696973</v>
      </c>
      <c r="I141" s="9">
        <f t="shared" si="17"/>
        <v>72.37801040536668</v>
      </c>
      <c r="J141" s="37">
        <f t="shared" si="18"/>
        <v>5773.9858694141949</v>
      </c>
      <c r="K141" s="38">
        <f t="shared" si="19"/>
        <v>89.476572527697044</v>
      </c>
      <c r="L141" s="2">
        <f t="shared" si="20"/>
        <v>8.5275456247550814</v>
      </c>
      <c r="M141" s="38">
        <f t="shared" si="21"/>
        <v>131.5932413891469</v>
      </c>
      <c r="N141" s="38">
        <f t="shared" si="22"/>
        <v>103.94475575504288</v>
      </c>
      <c r="O141" s="38">
        <f t="shared" si="23"/>
        <v>12.492722520796963</v>
      </c>
      <c r="P141" s="34">
        <f t="shared" si="24"/>
        <v>10.282173965645384</v>
      </c>
    </row>
    <row r="142" spans="4:16">
      <c r="D142" s="65">
        <f t="shared" si="13"/>
        <v>1062.8343154924523</v>
      </c>
      <c r="E142" s="162">
        <v>19.899999999999999</v>
      </c>
      <c r="F142" s="9">
        <f t="shared" si="14"/>
        <v>6.2930823418487583</v>
      </c>
      <c r="G142" s="36">
        <f t="shared" si="15"/>
        <v>125.23233860279028</v>
      </c>
      <c r="H142" s="36">
        <f t="shared" si="16"/>
        <v>90.576923488455151</v>
      </c>
      <c r="I142" s="9">
        <f t="shared" si="17"/>
        <v>72.327103764903285</v>
      </c>
      <c r="J142" s="37">
        <f t="shared" si="18"/>
        <v>5797.5583093431869</v>
      </c>
      <c r="K142" s="38">
        <f t="shared" si="19"/>
        <v>90.576923488455165</v>
      </c>
      <c r="L142" s="2">
        <f t="shared" si="20"/>
        <v>8.4868998483173854</v>
      </c>
      <c r="M142" s="38">
        <f t="shared" si="21"/>
        <v>133.21152811494883</v>
      </c>
      <c r="N142" s="38">
        <f t="shared" si="22"/>
        <v>105.22303127040664</v>
      </c>
      <c r="O142" s="38">
        <f t="shared" si="23"/>
        <v>12.394562118042373</v>
      </c>
      <c r="P142" s="34">
        <f t="shared" si="24"/>
        <v>10.278081024109277</v>
      </c>
    </row>
    <row r="143" spans="4:16">
      <c r="D143" s="65">
        <f t="shared" si="13"/>
        <v>1071.4807439791934</v>
      </c>
      <c r="E143" s="162">
        <v>20</v>
      </c>
      <c r="F143" s="9">
        <f t="shared" si="14"/>
        <v>6.3426511221983182</v>
      </c>
      <c r="G143" s="36">
        <f t="shared" si="15"/>
        <v>126.85302244396637</v>
      </c>
      <c r="H143" s="36">
        <f t="shared" si="16"/>
        <v>91.684468017179228</v>
      </c>
      <c r="I143" s="9">
        <f t="shared" si="17"/>
        <v>72.27613993799649</v>
      </c>
      <c r="J143" s="37">
        <f t="shared" si="18"/>
        <v>5821.092849874125</v>
      </c>
      <c r="K143" s="38">
        <f t="shared" si="19"/>
        <v>91.684468017179213</v>
      </c>
      <c r="L143" s="2">
        <f t="shared" si="20"/>
        <v>8.4466315688496021</v>
      </c>
      <c r="M143" s="38">
        <f t="shared" si="21"/>
        <v>134.84039442487042</v>
      </c>
      <c r="N143" s="38">
        <f t="shared" si="22"/>
        <v>106.50966353932179</v>
      </c>
      <c r="O143" s="38">
        <f t="shared" si="23"/>
        <v>12.297696735519917</v>
      </c>
      <c r="P143" s="34">
        <f t="shared" si="24"/>
        <v>10.273986436004325</v>
      </c>
    </row>
    <row r="144" spans="4:16">
      <c r="D144" s="65">
        <f t="shared" si="13"/>
        <v>1080.1482593863666</v>
      </c>
      <c r="E144" s="162">
        <v>20.100000000000001</v>
      </c>
      <c r="F144" s="9">
        <f t="shared" si="14"/>
        <v>6.3923407909503842</v>
      </c>
      <c r="G144" s="36">
        <f t="shared" si="15"/>
        <v>128.48604989810272</v>
      </c>
      <c r="H144" s="36">
        <f t="shared" si="16"/>
        <v>92.79920779453623</v>
      </c>
      <c r="I144" s="9">
        <f t="shared" si="17"/>
        <v>72.225123169504911</v>
      </c>
      <c r="J144" s="37">
        <f t="shared" si="18"/>
        <v>5844.5896732234805</v>
      </c>
      <c r="K144" s="38">
        <f t="shared" si="19"/>
        <v>92.79920779453623</v>
      </c>
      <c r="L144" s="2">
        <f t="shared" si="20"/>
        <v>8.4067356747521629</v>
      </c>
      <c r="M144" s="38">
        <f t="shared" si="21"/>
        <v>136.47984279066941</v>
      </c>
      <c r="N144" s="38">
        <f t="shared" si="22"/>
        <v>107.80465451421564</v>
      </c>
      <c r="O144" s="38">
        <f t="shared" si="23"/>
        <v>12.202102883880087</v>
      </c>
      <c r="P144" s="34">
        <f t="shared" si="24"/>
        <v>10.269890199341713</v>
      </c>
    </row>
    <row r="145" spans="4:16">
      <c r="D145" s="65">
        <f t="shared" si="13"/>
        <v>1088.8367606541158</v>
      </c>
      <c r="E145" s="162">
        <v>20.2</v>
      </c>
      <c r="F145" s="9">
        <f t="shared" si="14"/>
        <v>6.442150768742759</v>
      </c>
      <c r="G145" s="36">
        <f t="shared" si="15"/>
        <v>130.13144552860373</v>
      </c>
      <c r="H145" s="36">
        <f t="shared" si="16"/>
        <v>93.921144429832239</v>
      </c>
      <c r="I145" s="9">
        <f t="shared" si="17"/>
        <v>72.174057583328505</v>
      </c>
      <c r="J145" s="37">
        <f t="shared" si="18"/>
        <v>5868.0489601522595</v>
      </c>
      <c r="K145" s="38">
        <f t="shared" si="19"/>
        <v>93.921144429832239</v>
      </c>
      <c r="L145" s="2">
        <f t="shared" si="20"/>
        <v>8.3672071437551381</v>
      </c>
      <c r="M145" s="38">
        <f t="shared" si="21"/>
        <v>138.12987557915298</v>
      </c>
      <c r="N145" s="38">
        <f t="shared" si="22"/>
        <v>109.10800606461595</v>
      </c>
      <c r="O145" s="38">
        <f t="shared" si="23"/>
        <v>12.107757610774199</v>
      </c>
      <c r="P145" s="34">
        <f t="shared" si="24"/>
        <v>10.265792312128619</v>
      </c>
    </row>
    <row r="146" spans="4:16">
      <c r="D146" s="65">
        <f t="shared" si="13"/>
        <v>1097.5461475272373</v>
      </c>
      <c r="E146" s="162">
        <v>20.3</v>
      </c>
      <c r="F146" s="9">
        <f t="shared" si="14"/>
        <v>6.4920804808262034</v>
      </c>
      <c r="G146" s="36">
        <f t="shared" si="15"/>
        <v>131.78923376077194</v>
      </c>
      <c r="H146" s="36">
        <f t="shared" si="16"/>
        <v>95.050279462084447</v>
      </c>
      <c r="I146" s="9">
        <f t="shared" si="17"/>
        <v>72.122947185976344</v>
      </c>
      <c r="J146" s="37">
        <f t="shared" si="18"/>
        <v>5891.4708899822244</v>
      </c>
      <c r="K146" s="38">
        <f t="shared" si="19"/>
        <v>95.050279462084475</v>
      </c>
      <c r="L146" s="2">
        <f t="shared" si="20"/>
        <v>8.3280410410423844</v>
      </c>
      <c r="M146" s="38">
        <f t="shared" si="21"/>
        <v>139.79049505375482</v>
      </c>
      <c r="N146" s="38">
        <f t="shared" si="22"/>
        <v>110.41971997839588</v>
      </c>
      <c r="O146" s="38">
        <f t="shared" si="23"/>
        <v>12.014638486131869</v>
      </c>
      <c r="P146" s="34">
        <f t="shared" si="24"/>
        <v>10.261692772368196</v>
      </c>
    </row>
    <row r="147" spans="4:16">
      <c r="D147" s="65">
        <f t="shared" si="13"/>
        <v>1106.2763205462375</v>
      </c>
      <c r="E147" s="162">
        <v>20.399999999999999</v>
      </c>
      <c r="F147" s="9">
        <f t="shared" si="14"/>
        <v>6.5421293570131818</v>
      </c>
      <c r="G147" s="36">
        <f t="shared" si="15"/>
        <v>133.45943888306891</v>
      </c>
      <c r="H147" s="36">
        <f t="shared" si="16"/>
        <v>96.186614361076039</v>
      </c>
      <c r="I147" s="9">
        <f t="shared" si="17"/>
        <v>72.071795870017382</v>
      </c>
      <c r="J147" s="37">
        <f t="shared" si="18"/>
        <v>5914.8556406118869</v>
      </c>
      <c r="K147" s="38">
        <f t="shared" si="19"/>
        <v>96.18661436107611</v>
      </c>
      <c r="L147" s="2">
        <f t="shared" si="20"/>
        <v>8.2892325174205652</v>
      </c>
      <c r="M147" s="38">
        <f t="shared" si="21"/>
        <v>141.4617033760855</v>
      </c>
      <c r="N147" s="38">
        <f t="shared" si="22"/>
        <v>111.73979796299966</v>
      </c>
      <c r="O147" s="38">
        <f t="shared" si="23"/>
        <v>11.922723587907011</v>
      </c>
      <c r="P147" s="34">
        <f t="shared" si="24"/>
        <v>10.257591578059568</v>
      </c>
    </row>
    <row r="148" spans="4:16">
      <c r="D148" s="65">
        <f t="shared" si="13"/>
        <v>1115.0271810385225</v>
      </c>
      <c r="E148" s="162">
        <v>20.5</v>
      </c>
      <c r="F148" s="9">
        <f t="shared" si="14"/>
        <v>6.5922968316273289</v>
      </c>
      <c r="G148" s="36">
        <f t="shared" si="15"/>
        <v>135.14208504836023</v>
      </c>
      <c r="H148" s="36">
        <f t="shared" si="16"/>
        <v>97.330150528393631</v>
      </c>
      <c r="I148" s="9">
        <f t="shared" si="17"/>
        <v>72.020607417418717</v>
      </c>
      <c r="J148" s="37">
        <f t="shared" si="18"/>
        <v>5938.2033885322735</v>
      </c>
      <c r="K148" s="38">
        <f t="shared" si="19"/>
        <v>97.330150528393844</v>
      </c>
      <c r="L148" s="2">
        <f t="shared" si="20"/>
        <v>8.2507768075319614</v>
      </c>
      <c r="M148" s="38">
        <f t="shared" si="21"/>
        <v>143.14350260745968</v>
      </c>
      <c r="N148" s="38">
        <f t="shared" si="22"/>
        <v>113.06824164664775</v>
      </c>
      <c r="O148" s="38">
        <f t="shared" si="23"/>
        <v>11.831991488275484</v>
      </c>
      <c r="P148" s="34">
        <f t="shared" si="24"/>
        <v>10.253488727197826</v>
      </c>
    </row>
    <row r="149" spans="4:16">
      <c r="D149" s="65">
        <f t="shared" si="13"/>
        <v>1123.798631109702</v>
      </c>
      <c r="E149" s="162">
        <v>20.6</v>
      </c>
      <c r="F149" s="9">
        <f t="shared" si="14"/>
        <v>6.6425823434536619</v>
      </c>
      <c r="G149" s="36">
        <f t="shared" si="15"/>
        <v>136.83719627514546</v>
      </c>
      <c r="H149" s="36">
        <f t="shared" si="16"/>
        <v>98.480889298448147</v>
      </c>
      <c r="I149" s="9">
        <f t="shared" si="17"/>
        <v>71.969385502774884</v>
      </c>
      <c r="J149" s="37">
        <f t="shared" si="18"/>
        <v>5961.5143088424575</v>
      </c>
      <c r="K149" s="38">
        <f t="shared" si="19"/>
        <v>98.480889298448133</v>
      </c>
      <c r="L149" s="2">
        <f t="shared" si="20"/>
        <v>8.2126692281097551</v>
      </c>
      <c r="M149" s="38">
        <f t="shared" si="21"/>
        <v>144.83589471039505</v>
      </c>
      <c r="N149" s="38">
        <f t="shared" si="22"/>
        <v>114.40505257952212</v>
      </c>
      <c r="O149" s="38">
        <f t="shared" si="23"/>
        <v>11.742421240268079</v>
      </c>
      <c r="P149" s="34">
        <f t="shared" si="24"/>
        <v>10.249384217774001</v>
      </c>
    </row>
    <row r="150" spans="4:16">
      <c r="D150" s="65">
        <f t="shared" si="13"/>
        <v>1132.5905736350355</v>
      </c>
      <c r="E150" s="162">
        <v>20.7</v>
      </c>
      <c r="F150" s="9">
        <f t="shared" si="14"/>
        <v>6.6929853356894178</v>
      </c>
      <c r="G150" s="36">
        <f t="shared" si="15"/>
        <v>138.54479644877094</v>
      </c>
      <c r="H150" s="36">
        <f t="shared" si="16"/>
        <v>99.638831939478379</v>
      </c>
      <c r="I150" s="9">
        <f t="shared" si="17"/>
        <v>71.918133696433244</v>
      </c>
      <c r="J150" s="37">
        <f t="shared" si="18"/>
        <v>5984.7885752649008</v>
      </c>
      <c r="K150" s="38">
        <f t="shared" si="19"/>
        <v>99.638831939478322</v>
      </c>
      <c r="L150" s="2">
        <f t="shared" si="20"/>
        <v>8.1749051762750842</v>
      </c>
      <c r="M150" s="38">
        <f t="shared" si="21"/>
        <v>146.53888155009213</v>
      </c>
      <c r="N150" s="38">
        <f t="shared" si="22"/>
        <v>115.7502322349339</v>
      </c>
      <c r="O150" s="38">
        <f t="shared" si="23"/>
        <v>11.65399236482348</v>
      </c>
      <c r="P150" s="34">
        <f t="shared" si="24"/>
        <v>10.245278047775066</v>
      </c>
    </row>
    <row r="151" spans="4:16">
      <c r="D151" s="65">
        <f t="shared" si="13"/>
        <v>1141.4029122509787</v>
      </c>
      <c r="E151" s="162">
        <v>20.8</v>
      </c>
      <c r="F151" s="9">
        <f t="shared" si="14"/>
        <v>6.7435052558957116</v>
      </c>
      <c r="G151" s="36">
        <f t="shared" si="15"/>
        <v>140.26490932263081</v>
      </c>
      <c r="H151" s="36">
        <f t="shared" si="16"/>
        <v>100.80397965453965</v>
      </c>
      <c r="I151" s="9">
        <f t="shared" si="17"/>
        <v>71.866855467517553</v>
      </c>
      <c r="J151" s="37">
        <f t="shared" si="18"/>
        <v>6008.0263601605384</v>
      </c>
      <c r="K151" s="38">
        <f t="shared" si="19"/>
        <v>100.80397965453973</v>
      </c>
      <c r="L151" s="2">
        <f t="shared" si="20"/>
        <v>8.1374801278741558</v>
      </c>
      <c r="M151" s="38">
        <f t="shared" si="21"/>
        <v>148.25246489588486</v>
      </c>
      <c r="N151" s="38">
        <f t="shared" si="22"/>
        <v>117.10378201046994</v>
      </c>
      <c r="O151" s="38">
        <f t="shared" si="23"/>
        <v>11.566684838245832</v>
      </c>
      <c r="P151" s="34">
        <f t="shared" si="24"/>
        <v>10.241170215183914</v>
      </c>
    </row>
    <row r="152" spans="4:16">
      <c r="D152" s="65">
        <f t="shared" si="13"/>
        <v>1150.2355513468576</v>
      </c>
      <c r="E152" s="162">
        <v>20.9</v>
      </c>
      <c r="F152" s="9">
        <f t="shared" si="14"/>
        <v>6.7941415559497713</v>
      </c>
      <c r="G152" s="36">
        <f t="shared" si="15"/>
        <v>141.99755851935021</v>
      </c>
      <c r="H152" s="36">
        <f t="shared" si="16"/>
        <v>101.97633358247531</v>
      </c>
      <c r="I152" s="9">
        <f t="shared" si="17"/>
        <v>71.815554186855152</v>
      </c>
      <c r="J152" s="37">
        <f t="shared" si="18"/>
        <v>6031.2278345436698</v>
      </c>
      <c r="K152" s="38">
        <f t="shared" si="19"/>
        <v>101.97633358247525</v>
      </c>
      <c r="L152" s="2">
        <f t="shared" si="20"/>
        <v>8.1003896358549952</v>
      </c>
      <c r="M152" s="38">
        <f t="shared" si="21"/>
        <v>149.97664642267043</v>
      </c>
      <c r="N152" s="38">
        <f t="shared" si="22"/>
        <v>118.46570322912196</v>
      </c>
      <c r="O152" s="38">
        <f t="shared" si="23"/>
        <v>11.480479080052987</v>
      </c>
      <c r="P152" s="34">
        <f t="shared" si="24"/>
        <v>10.23706071797935</v>
      </c>
    </row>
    <row r="153" spans="4:16">
      <c r="D153" s="65">
        <f t="shared" si="13"/>
        <v>1159.0883960566655</v>
      </c>
      <c r="E153" s="162">
        <v>21</v>
      </c>
      <c r="F153" s="9">
        <f t="shared" si="14"/>
        <v>6.8448936919978545</v>
      </c>
      <c r="G153" s="36">
        <f t="shared" si="15"/>
        <v>143.74276753195494</v>
      </c>
      <c r="H153" s="36">
        <f t="shared" si="16"/>
        <v>103.15589479887298</v>
      </c>
      <c r="I153" s="9">
        <f t="shared" si="17"/>
        <v>71.764233129809995</v>
      </c>
      <c r="J153" s="37">
        <f t="shared" si="18"/>
        <v>6054.3931680966689</v>
      </c>
      <c r="K153" s="38">
        <f t="shared" si="19"/>
        <v>103.15589479887321</v>
      </c>
      <c r="L153" s="2">
        <f t="shared" si="20"/>
        <v>8.0636293286825218</v>
      </c>
      <c r="M153" s="38">
        <f t="shared" si="21"/>
        <v>151.71142771231669</v>
      </c>
      <c r="N153" s="38">
        <f t="shared" si="22"/>
        <v>119.83599714039855</v>
      </c>
      <c r="O153" s="38">
        <f t="shared" si="23"/>
        <v>11.395355941201439</v>
      </c>
      <c r="P153" s="34">
        <f t="shared" si="24"/>
        <v>10.232949554136084</v>
      </c>
    </row>
    <row r="154" spans="4:16">
      <c r="D154" s="65">
        <f t="shared" si="13"/>
        <v>1167.9613522509596</v>
      </c>
      <c r="E154" s="162">
        <v>21.1</v>
      </c>
      <c r="F154" s="9">
        <f t="shared" si="14"/>
        <v>6.8957611244089057</v>
      </c>
      <c r="G154" s="36">
        <f t="shared" si="15"/>
        <v>145.50055972502793</v>
      </c>
      <c r="H154" s="36">
        <f t="shared" si="16"/>
        <v>104.342664317006</v>
      </c>
      <c r="I154" s="9">
        <f t="shared" si="17"/>
        <v>71.712895479025264</v>
      </c>
      <c r="J154" s="37">
        <f t="shared" si="18"/>
        <v>6077.5225291844217</v>
      </c>
      <c r="K154" s="38">
        <f t="shared" si="19"/>
        <v>104.34266431700611</v>
      </c>
      <c r="L154" s="2">
        <f t="shared" si="20"/>
        <v>8.0271949087908254</v>
      </c>
      <c r="M154" s="38">
        <f t="shared" si="21"/>
        <v>153.4568102550443</v>
      </c>
      <c r="N154" s="38">
        <f t="shared" si="22"/>
        <v>121.2146649214166</v>
      </c>
      <c r="O154" s="38">
        <f t="shared" si="23"/>
        <v>11.311296692674523</v>
      </c>
      <c r="P154" s="34">
        <f t="shared" si="24"/>
        <v>10.228836721624717</v>
      </c>
    </row>
    <row r="155" spans="4:16">
      <c r="D155" s="65">
        <f t="shared" si="13"/>
        <v>1176.8543265288884</v>
      </c>
      <c r="E155" s="162">
        <v>21.2</v>
      </c>
      <c r="F155" s="9">
        <f t="shared" si="14"/>
        <v>6.9467433177287177</v>
      </c>
      <c r="G155" s="36">
        <f t="shared" si="15"/>
        <v>147.2709583358488</v>
      </c>
      <c r="H155" s="36">
        <f t="shared" si="16"/>
        <v>105.53664308875852</v>
      </c>
      <c r="I155" s="9">
        <f t="shared" si="17"/>
        <v>71.661544327079127</v>
      </c>
      <c r="J155" s="37">
        <f t="shared" si="18"/>
        <v>6100.6160848686395</v>
      </c>
      <c r="K155" s="38">
        <f t="shared" si="19"/>
        <v>105.53664308875855</v>
      </c>
      <c r="L155" s="2">
        <f t="shared" si="20"/>
        <v>7.9910821510721277</v>
      </c>
      <c r="M155" s="38">
        <f t="shared" si="21"/>
        <v>155.21279545079048</v>
      </c>
      <c r="N155" s="38">
        <f t="shared" si="22"/>
        <v>122.60170767797831</v>
      </c>
      <c r="O155" s="38">
        <f t="shared" si="23"/>
        <v>11.228283014421583</v>
      </c>
      <c r="P155" s="34">
        <f t="shared" si="24"/>
        <v>10.224722218411724</v>
      </c>
    </row>
    <row r="156" spans="4:16">
      <c r="D156" s="65">
        <f t="shared" si="13"/>
        <v>1185.7672262103154</v>
      </c>
      <c r="E156" s="162">
        <v>21.3</v>
      </c>
      <c r="F156" s="9">
        <f t="shared" si="14"/>
        <v>6.9978397406348662</v>
      </c>
      <c r="G156" s="36">
        <f t="shared" si="15"/>
        <v>149.05398647552266</v>
      </c>
      <c r="H156" s="36">
        <f t="shared" si="16"/>
        <v>106.7378320055373</v>
      </c>
      <c r="I156" s="9">
        <f t="shared" si="17"/>
        <v>71.610182679056066</v>
      </c>
      <c r="J156" s="37">
        <f t="shared" si="18"/>
        <v>6123.6740009219211</v>
      </c>
      <c r="K156" s="38">
        <f t="shared" si="19"/>
        <v>106.73783200553738</v>
      </c>
      <c r="L156" s="2">
        <f t="shared" si="20"/>
        <v>7.9552869014009202</v>
      </c>
      <c r="M156" s="38">
        <f t="shared" si="21"/>
        <v>156.97938461054744</v>
      </c>
      <c r="N156" s="38">
        <f t="shared" si="22"/>
        <v>123.99712644562939</v>
      </c>
      <c r="O156" s="38">
        <f t="shared" si="23"/>
        <v>11.146296984635375</v>
      </c>
      <c r="P156" s="34">
        <f t="shared" si="24"/>
        <v>10.220606042459446</v>
      </c>
    </row>
    <row r="157" spans="4:16">
      <c r="D157" s="65">
        <f t="shared" si="13"/>
        <v>1194.6999593280573</v>
      </c>
      <c r="E157" s="162">
        <v>21.4</v>
      </c>
      <c r="F157" s="9">
        <f t="shared" si="14"/>
        <v>7.0490498658922043</v>
      </c>
      <c r="G157" s="36">
        <f t="shared" si="15"/>
        <v>150.84966713009317</v>
      </c>
      <c r="H157" s="36">
        <f t="shared" si="16"/>
        <v>107.94623189916798</v>
      </c>
      <c r="I157" s="9">
        <f t="shared" si="17"/>
        <v>71.558813455037225</v>
      </c>
      <c r="J157" s="37">
        <f t="shared" si="18"/>
        <v>6146.696441841631</v>
      </c>
      <c r="K157" s="38">
        <f t="shared" si="19"/>
        <v>107.94623189916801</v>
      </c>
      <c r="L157" s="2">
        <f t="shared" si="20"/>
        <v>7.919805075192806</v>
      </c>
      <c r="M157" s="38">
        <f t="shared" si="21"/>
        <v>158.75657895768148</v>
      </c>
      <c r="N157" s="38">
        <f t="shared" si="22"/>
        <v>125.40092219069967</v>
      </c>
      <c r="O157" s="38">
        <f t="shared" si="23"/>
        <v>11.065321069356271</v>
      </c>
      <c r="P157" s="34">
        <f t="shared" si="24"/>
        <v>10.216488191726086</v>
      </c>
    </row>
    <row r="158" spans="4:16">
      <c r="D158" s="65">
        <f t="shared" si="13"/>
        <v>1203.6524346202323</v>
      </c>
      <c r="E158" s="162">
        <v>21.5</v>
      </c>
      <c r="F158" s="9">
        <f t="shared" si="14"/>
        <v>7.1003731703089574</v>
      </c>
      <c r="G158" s="36">
        <f t="shared" si="15"/>
        <v>152.65802316164257</v>
      </c>
      <c r="H158" s="36">
        <f t="shared" si="16"/>
        <v>109.16184354277739</v>
      </c>
      <c r="I158" s="9">
        <f t="shared" si="17"/>
        <v>71.507439492512574</v>
      </c>
      <c r="J158" s="37">
        <f t="shared" si="18"/>
        <v>6169.6835708636054</v>
      </c>
      <c r="K158" s="38">
        <f t="shared" si="19"/>
        <v>109.16184354277738</v>
      </c>
      <c r="L158" s="2">
        <f t="shared" si="20"/>
        <v>7.8846326559969926</v>
      </c>
      <c r="M158" s="38">
        <f t="shared" si="21"/>
        <v>160.54437962923083</v>
      </c>
      <c r="N158" s="38">
        <f t="shared" si="22"/>
        <v>126.81309581132925</v>
      </c>
      <c r="O158" s="38">
        <f t="shared" si="23"/>
        <v>10.985338112391915</v>
      </c>
      <c r="P158" s="34">
        <f t="shared" ref="P158:P189" si="25">($B$69*$B$63+SQRT($B$69^2*$B$63^2+4*$B$69*($U$58-(E158*$B$63))))/(2*$B$69)</f>
        <v>10.212368664165682</v>
      </c>
    </row>
    <row r="159" spans="4:16">
      <c r="D159" s="65">
        <f t="shared" si="13"/>
        <v>1212.6245615227065</v>
      </c>
      <c r="E159" s="162">
        <v>21.6</v>
      </c>
      <c r="F159" s="9">
        <f t="shared" si="14"/>
        <v>7.1518091346934547</v>
      </c>
      <c r="G159" s="36">
        <f t="shared" si="15"/>
        <v>154.47907730937862</v>
      </c>
      <c r="H159" s="36">
        <f t="shared" si="16"/>
        <v>110.38466765166177</v>
      </c>
      <c r="I159" s="9">
        <f t="shared" si="17"/>
        <v>71.456063548717339</v>
      </c>
      <c r="J159" s="37">
        <f t="shared" si="18"/>
        <v>6192.6355499756419</v>
      </c>
      <c r="K159" s="38">
        <f t="shared" si="19"/>
        <v>110.38466765166177</v>
      </c>
      <c r="L159" s="2">
        <f t="shared" si="20"/>
        <v>7.8497656941215199</v>
      </c>
      <c r="M159" s="38">
        <f t="shared" si="21"/>
        <v>162.34278767718192</v>
      </c>
      <c r="N159" s="38">
        <f t="shared" si="22"/>
        <v>128.23364813847638</v>
      </c>
      <c r="O159" s="38">
        <f t="shared" si="23"/>
        <v>10.90633132554135</v>
      </c>
      <c r="P159" s="34">
        <f t="shared" si="25"/>
        <v>10.208247457728104</v>
      </c>
    </row>
    <row r="160" spans="4:16">
      <c r="D160" s="65">
        <f t="shared" si="13"/>
        <v>1221.6162501616529</v>
      </c>
      <c r="E160" s="162">
        <v>21.7</v>
      </c>
      <c r="F160" s="9">
        <f t="shared" si="14"/>
        <v>7.2033572438114559</v>
      </c>
      <c r="G160" s="36">
        <f t="shared" si="15"/>
        <v>156.31285219070858</v>
      </c>
      <c r="H160" s="36">
        <f t="shared" si="16"/>
        <v>111.61470488414163</v>
      </c>
      <c r="I160" s="9">
        <f t="shared" si="17"/>
        <v>71.404688302895764</v>
      </c>
      <c r="J160" s="37">
        <f t="shared" si="18"/>
        <v>6215.5525399308253</v>
      </c>
      <c r="K160" s="38">
        <f t="shared" si="19"/>
        <v>111.6147048841417</v>
      </c>
      <c r="L160" s="2">
        <f t="shared" si="20"/>
        <v>7.8152003052904897</v>
      </c>
      <c r="M160" s="38">
        <f t="shared" si="21"/>
        <v>164.1518040697274</v>
      </c>
      <c r="N160" s="38">
        <f t="shared" si="22"/>
        <v>129.66257993691062</v>
      </c>
      <c r="O160" s="38">
        <f t="shared" si="23"/>
        <v>10.82828427911323</v>
      </c>
      <c r="P160" s="34">
        <f t="shared" si="25"/>
        <v>10.204124570359044</v>
      </c>
    </row>
    <row r="161" spans="4:16">
      <c r="D161" s="65">
        <f t="shared" si="13"/>
        <v>1230.6274113462011</v>
      </c>
      <c r="E161" s="162">
        <v>21.8</v>
      </c>
      <c r="F161" s="9">
        <f t="shared" si="14"/>
        <v>7.2550169863440344</v>
      </c>
      <c r="G161" s="36">
        <f t="shared" si="15"/>
        <v>158.15937030229995</v>
      </c>
      <c r="H161" s="36">
        <f t="shared" si="16"/>
        <v>112.8519558424026</v>
      </c>
      <c r="I161" s="9">
        <f t="shared" si="17"/>
        <v>71.353316358494325</v>
      </c>
      <c r="J161" s="37">
        <f t="shared" si="18"/>
        <v>6238.434700260661</v>
      </c>
      <c r="K161" s="38">
        <f t="shared" si="19"/>
        <v>112.85195584240262</v>
      </c>
      <c r="L161" s="2">
        <f t="shared" si="20"/>
        <v>7.7809326693323682</v>
      </c>
      <c r="M161" s="38">
        <f t="shared" si="21"/>
        <v>165.97142969250106</v>
      </c>
      <c r="N161" s="38">
        <f t="shared" si="22"/>
        <v>131.09989190618967</v>
      </c>
      <c r="O161" s="38">
        <f t="shared" si="23"/>
        <v>10.751180892728129</v>
      </c>
      <c r="P161" s="34">
        <f t="shared" si="25"/>
        <v>10.200000000000001</v>
      </c>
    </row>
    <row r="162" spans="4:16">
      <c r="D162" s="65">
        <f t="shared" si="13"/>
        <v>1239.6579565612024</v>
      </c>
      <c r="E162" s="162">
        <v>21.9</v>
      </c>
      <c r="F162" s="9">
        <f t="shared" si="14"/>
        <v>7.306787854846041</v>
      </c>
      <c r="G162" s="36">
        <f t="shared" si="15"/>
        <v>160.0186540211283</v>
      </c>
      <c r="H162" s="36">
        <f t="shared" si="16"/>
        <v>114.09642107332316</v>
      </c>
      <c r="I162" s="9">
        <f t="shared" si="17"/>
        <v>71.301950245287188</v>
      </c>
      <c r="J162" s="37">
        <f t="shared" si="18"/>
        <v>6261.2821892880347</v>
      </c>
      <c r="K162" s="38">
        <f t="shared" si="19"/>
        <v>114.09642107332331</v>
      </c>
      <c r="L162" s="2">
        <f t="shared" si="20"/>
        <v>7.7469590288987327</v>
      </c>
      <c r="M162" s="38">
        <f t="shared" si="21"/>
        <v>167.80166534979855</v>
      </c>
      <c r="N162" s="38">
        <f t="shared" si="22"/>
        <v>132.54558468162145</v>
      </c>
      <c r="O162" s="38">
        <f t="shared" si="23"/>
        <v>10.675005426395195</v>
      </c>
      <c r="P162" s="34">
        <f t="shared" si="25"/>
        <v>10.195873744588265</v>
      </c>
    </row>
    <row r="163" spans="4:16">
      <c r="D163" s="65">
        <f t="shared" si="13"/>
        <v>1248.7077979600733</v>
      </c>
      <c r="E163" s="162">
        <v>22</v>
      </c>
      <c r="F163" s="9">
        <f t="shared" si="14"/>
        <v>7.3586693457051782</v>
      </c>
      <c r="G163" s="36">
        <f t="shared" si="15"/>
        <v>161.89072560551392</v>
      </c>
      <c r="H163" s="36">
        <f t="shared" si="16"/>
        <v>115.34810106928988</v>
      </c>
      <c r="I163" s="9">
        <f t="shared" si="17"/>
        <v>71.250592421435897</v>
      </c>
      <c r="J163" s="37">
        <f t="shared" si="18"/>
        <v>6284.0951641399843</v>
      </c>
      <c r="K163" s="38">
        <f t="shared" si="19"/>
        <v>115.34810106928997</v>
      </c>
      <c r="L163" s="2">
        <f t="shared" si="20"/>
        <v>7.7132756882123887</v>
      </c>
      <c r="M163" s="38">
        <f t="shared" si="21"/>
        <v>169.64251176577199</v>
      </c>
      <c r="N163" s="38">
        <f t="shared" si="22"/>
        <v>133.99965883521014</v>
      </c>
      <c r="O163" s="38">
        <f t="shared" si="23"/>
        <v>10.59974247185383</v>
      </c>
      <c r="P163" s="34">
        <f t="shared" si="25"/>
        <v>10.191745802056912</v>
      </c>
    </row>
    <row r="164" spans="4:16">
      <c r="D164" s="65">
        <f t="shared" si="13"/>
        <v>1257.7768483577584</v>
      </c>
      <c r="E164" s="162">
        <v>22.1</v>
      </c>
      <c r="F164" s="9">
        <f t="shared" si="14"/>
        <v>7.4106609591015387</v>
      </c>
      <c r="G164" s="36">
        <f t="shared" si="15"/>
        <v>163.77560719614402</v>
      </c>
      <c r="H164" s="36">
        <f t="shared" si="16"/>
        <v>116.60699626899886</v>
      </c>
      <c r="I164" s="9">
        <f t="shared" si="17"/>
        <v>71.19924527548585</v>
      </c>
      <c r="J164" s="37">
        <f t="shared" si="18"/>
        <v>6306.8737807603202</v>
      </c>
      <c r="K164" s="38">
        <f t="shared" si="19"/>
        <v>116.60699626899896</v>
      </c>
      <c r="L164" s="2">
        <f t="shared" si="20"/>
        <v>7.679879011844517</v>
      </c>
      <c r="M164" s="38">
        <f t="shared" si="21"/>
        <v>171.4939695856126</v>
      </c>
      <c r="N164" s="38">
        <f t="shared" si="22"/>
        <v>135.46211487658834</v>
      </c>
      <c r="O164" s="38">
        <f t="shared" si="23"/>
        <v>10.52537694417161</v>
      </c>
      <c r="P164" s="34">
        <f t="shared" si="25"/>
        <v>10.187616170334792</v>
      </c>
    </row>
    <row r="165" spans="4:16">
      <c r="D165" s="65">
        <f t="shared" si="13"/>
        <v>1266.8650212237687</v>
      </c>
      <c r="E165" s="162">
        <v>22.2</v>
      </c>
      <c r="F165" s="9">
        <f t="shared" si="14"/>
        <v>7.4627621989677815</v>
      </c>
      <c r="G165" s="36">
        <f t="shared" si="15"/>
        <v>165.67332081708474</v>
      </c>
      <c r="H165" s="36">
        <f t="shared" si="16"/>
        <v>117.87310705824564</v>
      </c>
      <c r="I165" s="9">
        <f t="shared" si="17"/>
        <v>71.147911128301715</v>
      </c>
      <c r="J165" s="37">
        <f t="shared" si="18"/>
        <v>6329.6181939220523</v>
      </c>
      <c r="K165" s="38">
        <f t="shared" si="19"/>
        <v>117.87310705824592</v>
      </c>
      <c r="L165" s="2">
        <f t="shared" si="20"/>
        <v>7.6467654235196916</v>
      </c>
      <c r="M165" s="38">
        <f t="shared" si="21"/>
        <v>173.35603937671021</v>
      </c>
      <c r="N165" s="38">
        <f t="shared" si="22"/>
        <v>136.93295325393413</v>
      </c>
      <c r="O165" s="38">
        <f t="shared" si="23"/>
        <v>10.451894073589621</v>
      </c>
      <c r="P165" s="34">
        <f t="shared" si="25"/>
        <v>10.183484847346509</v>
      </c>
    </row>
    <row r="166" spans="4:16">
      <c r="D166" s="65">
        <f t="shared" si="13"/>
        <v>1275.9722306753233</v>
      </c>
      <c r="E166" s="162">
        <v>22.3</v>
      </c>
      <c r="F166" s="9">
        <f t="shared" si="14"/>
        <v>7.5149725729498211</v>
      </c>
      <c r="G166" s="36">
        <f t="shared" si="15"/>
        <v>167.583888376781</v>
      </c>
      <c r="H166" s="36">
        <f t="shared" si="16"/>
        <v>119.14643377070253</v>
      </c>
      <c r="I166" s="9">
        <f t="shared" si="17"/>
        <v>71.096592234943301</v>
      </c>
      <c r="J166" s="37">
        <f t="shared" si="18"/>
        <v>6352.3285572396553</v>
      </c>
      <c r="K166" s="38">
        <f t="shared" si="19"/>
        <v>119.14643377070253</v>
      </c>
      <c r="L166" s="2">
        <f t="shared" si="20"/>
        <v>7.6139314049483007</v>
      </c>
      <c r="M166" s="38">
        <f t="shared" si="21"/>
        <v>175.22872162979581</v>
      </c>
      <c r="N166" s="38">
        <f t="shared" si="22"/>
        <v>138.41217435487317</v>
      </c>
      <c r="O166" s="38">
        <f t="shared" si="23"/>
        <v>10.379279397607034</v>
      </c>
      <c r="P166" s="34">
        <f t="shared" si="25"/>
        <v>10.179351831012417</v>
      </c>
    </row>
    <row r="167" spans="4:16">
      <c r="D167" s="65">
        <f t="shared" si="13"/>
        <v>1285.098391470591</v>
      </c>
      <c r="E167" s="162">
        <v>22.4</v>
      </c>
      <c r="F167" s="9">
        <f t="shared" si="14"/>
        <v>7.56729159236796</v>
      </c>
      <c r="G167" s="36">
        <f t="shared" si="15"/>
        <v>169.50733166904229</v>
      </c>
      <c r="H167" s="36">
        <f t="shared" si="16"/>
        <v>120.4269766886829</v>
      </c>
      <c r="I167" s="9">
        <f t="shared" si="17"/>
        <v>71.04529078648514</v>
      </c>
      <c r="J167" s="37">
        <f t="shared" si="18"/>
        <v>6375.0050231811956</v>
      </c>
      <c r="K167" s="38">
        <f t="shared" si="19"/>
        <v>120.42697668868287</v>
      </c>
      <c r="L167" s="2">
        <f t="shared" si="20"/>
        <v>7.5813734946857929</v>
      </c>
      <c r="M167" s="38">
        <f t="shared" si="21"/>
        <v>177.11201676006922</v>
      </c>
      <c r="N167" s="38">
        <f t="shared" si="22"/>
        <v>139.89977850736926</v>
      </c>
      <c r="O167" s="38">
        <f t="shared" si="23"/>
        <v>10.307518753297071</v>
      </c>
      <c r="P167" s="34">
        <f t="shared" si="25"/>
        <v>10.175217119248599</v>
      </c>
    </row>
    <row r="168" spans="4:16">
      <c r="D168" s="65">
        <f t="shared" si="13"/>
        <v>1294.2434190019992</v>
      </c>
      <c r="E168" s="162">
        <v>22.5</v>
      </c>
      <c r="F168" s="9">
        <f t="shared" si="14"/>
        <v>7.6197187721786914</v>
      </c>
      <c r="G168" s="36">
        <f t="shared" si="15"/>
        <v>171.44367237402057</v>
      </c>
      <c r="H168" s="36">
        <f t="shared" si="16"/>
        <v>121.71473604389529</v>
      </c>
      <c r="I168" s="9">
        <f t="shared" si="17"/>
        <v>70.994008911780128</v>
      </c>
      <c r="J168" s="37">
        <f t="shared" si="18"/>
        <v>6397.6477430802488</v>
      </c>
      <c r="K168" s="38">
        <f t="shared" si="19"/>
        <v>121.71473604389531</v>
      </c>
      <c r="L168" s="2">
        <f t="shared" si="20"/>
        <v>7.5490882870175859</v>
      </c>
      <c r="M168" s="38">
        <f t="shared" si="21"/>
        <v>179.00592510830367</v>
      </c>
      <c r="N168" s="38">
        <f t="shared" si="22"/>
        <v>141.3957659805975</v>
      </c>
      <c r="O168" s="38">
        <f t="shared" si="23"/>
        <v>10.236598269846331</v>
      </c>
      <c r="P168" s="34">
        <f t="shared" si="25"/>
        <v>10.171080709966864</v>
      </c>
    </row>
    <row r="169" spans="4:16">
      <c r="D169" s="65">
        <f t="shared" si="13"/>
        <v>1303.4072292896547</v>
      </c>
      <c r="E169" s="162">
        <v>22.6</v>
      </c>
      <c r="F169" s="9">
        <f t="shared" si="14"/>
        <v>7.6722536309368907</v>
      </c>
      <c r="G169" s="36">
        <f t="shared" si="15"/>
        <v>173.39293205917375</v>
      </c>
      <c r="H169" s="36">
        <f t="shared" si="16"/>
        <v>123.00971201818419</v>
      </c>
      <c r="I169" s="9">
        <f t="shared" si="17"/>
        <v>70.942748679170336</v>
      </c>
      <c r="J169" s="37">
        <f t="shared" si="18"/>
        <v>6420.2568671476902</v>
      </c>
      <c r="K169" s="38">
        <f t="shared" si="19"/>
        <v>123.00971201818432</v>
      </c>
      <c r="L169" s="2">
        <f t="shared" si="20"/>
        <v>7.5170724308695656</v>
      </c>
      <c r="M169" s="38">
        <f t="shared" si="21"/>
        <v>180.91044694193775</v>
      </c>
      <c r="N169" s="38">
        <f t="shared" si="22"/>
        <v>142.90013698580614</v>
      </c>
      <c r="O169" s="38">
        <f t="shared" si="23"/>
        <v>10.166504361310471</v>
      </c>
      <c r="P169" s="34">
        <f t="shared" si="25"/>
        <v>10.166942601074734</v>
      </c>
    </row>
    <row r="170" spans="4:16">
      <c r="D170" s="65">
        <f t="shared" si="13"/>
        <v>1312.5897389748438</v>
      </c>
      <c r="E170" s="162">
        <v>22.7</v>
      </c>
      <c r="F170" s="9">
        <f t="shared" si="14"/>
        <v>7.7248956907585757</v>
      </c>
      <c r="G170" s="36">
        <f t="shared" si="15"/>
        <v>175.35513218021967</v>
      </c>
      <c r="H170" s="36">
        <f t="shared" si="16"/>
        <v>124.31190474426069</v>
      </c>
      <c r="I170" s="9">
        <f t="shared" si="17"/>
        <v>70.891512098146208</v>
      </c>
      <c r="J170" s="37">
        <f t="shared" si="18"/>
        <v>6442.8325444833235</v>
      </c>
      <c r="K170" s="38">
        <f t="shared" si="19"/>
        <v>124.31190474426063</v>
      </c>
      <c r="L170" s="2">
        <f t="shared" si="20"/>
        <v>7.4853226287431465</v>
      </c>
      <c r="M170" s="38">
        <f t="shared" si="21"/>
        <v>182.8255824561497</v>
      </c>
      <c r="N170" s="38">
        <f t="shared" si="22"/>
        <v>144.41289167716513</v>
      </c>
      <c r="O170" s="38">
        <f t="shared" si="23"/>
        <v>10.097223719578858</v>
      </c>
      <c r="P170" s="34">
        <f t="shared" si="25"/>
        <v>10.162802790475425</v>
      </c>
    </row>
    <row r="171" spans="4:16">
      <c r="D171" s="65">
        <f t="shared" si="13"/>
        <v>1321.7908653136205</v>
      </c>
      <c r="E171" s="162">
        <v>22.8</v>
      </c>
      <c r="F171" s="9">
        <f t="shared" si="14"/>
        <v>7.777644477284098</v>
      </c>
      <c r="G171" s="36">
        <f t="shared" si="15"/>
        <v>177.33029408207744</v>
      </c>
      <c r="H171" s="36">
        <f t="shared" si="16"/>
        <v>125.62131430642063</v>
      </c>
      <c r="I171" s="9">
        <f t="shared" si="17"/>
        <v>70.840301120956084</v>
      </c>
      <c r="J171" s="37">
        <f t="shared" si="18"/>
        <v>6465.3749230873618</v>
      </c>
      <c r="K171" s="38">
        <f t="shared" si="19"/>
        <v>125.62131430642067</v>
      </c>
      <c r="L171" s="2">
        <f t="shared" si="20"/>
        <v>7.4538356356744595</v>
      </c>
      <c r="M171" s="38">
        <f t="shared" si="21"/>
        <v>184.75133177491415</v>
      </c>
      <c r="N171" s="38">
        <f t="shared" si="22"/>
        <v>145.93403015260145</v>
      </c>
      <c r="O171" s="38">
        <f t="shared" si="23"/>
        <v>10.0287433075415</v>
      </c>
      <c r="P171" s="34">
        <f t="shared" si="25"/>
        <v>10.158661276067837</v>
      </c>
    </row>
    <row r="172" spans="4:16">
      <c r="D172" s="65">
        <f t="shared" si="13"/>
        <v>1331.0105261704664</v>
      </c>
      <c r="E172" s="162">
        <v>22.9</v>
      </c>
      <c r="F172" s="9">
        <f t="shared" si="14"/>
        <v>7.830499519641914</v>
      </c>
      <c r="G172" s="36">
        <f t="shared" si="15"/>
        <v>179.31843899979981</v>
      </c>
      <c r="H172" s="36">
        <f t="shared" si="16"/>
        <v>126.93794074125272</v>
      </c>
      <c r="I172" s="9">
        <f t="shared" si="17"/>
        <v>70.789117644167334</v>
      </c>
      <c r="J172" s="37">
        <f t="shared" si="18"/>
        <v>6487.884149871722</v>
      </c>
      <c r="K172" s="38">
        <f t="shared" si="19"/>
        <v>126.93794074125262</v>
      </c>
      <c r="L172" s="2">
        <f t="shared" si="20"/>
        <v>7.4226082582168385</v>
      </c>
      <c r="M172" s="38">
        <f t="shared" si="21"/>
        <v>186.68769495204114</v>
      </c>
      <c r="N172" s="38">
        <f t="shared" si="22"/>
        <v>147.46355245461936</v>
      </c>
      <c r="O172" s="38">
        <f t="shared" si="23"/>
        <v>9.9610503524514495</v>
      </c>
      <c r="P172" s="34">
        <f t="shared" si="25"/>
        <v>10.154518055746546</v>
      </c>
    </row>
    <row r="173" spans="4:16">
      <c r="D173" s="65">
        <f t="shared" si="13"/>
        <v>1340.2486400120636</v>
      </c>
      <c r="E173" s="162">
        <v>23</v>
      </c>
      <c r="F173" s="9">
        <f t="shared" si="14"/>
        <v>7.8834603504127356</v>
      </c>
      <c r="G173" s="36">
        <f t="shared" si="15"/>
        <v>181.31958805949293</v>
      </c>
      <c r="H173" s="36">
        <f t="shared" si="16"/>
        <v>128.26178403833521</v>
      </c>
      <c r="I173" s="9">
        <f t="shared" si="17"/>
        <v>70.737963510181316</v>
      </c>
      <c r="J173" s="37">
        <f t="shared" si="18"/>
        <v>6510.3603706712265</v>
      </c>
      <c r="K173" s="38">
        <f t="shared" si="19"/>
        <v>128.26178403833521</v>
      </c>
      <c r="L173" s="2">
        <f t="shared" si="20"/>
        <v>7.3916373534464102</v>
      </c>
      <c r="M173" s="38">
        <f t="shared" si="21"/>
        <v>188.63467197220439</v>
      </c>
      <c r="N173" s="38">
        <f t="shared" si="22"/>
        <v>149.00145857111264</v>
      </c>
      <c r="O173" s="38">
        <f t="shared" si="23"/>
        <v>9.8941323394765774</v>
      </c>
      <c r="P173" s="34">
        <f t="shared" si="25"/>
        <v>10.150373127401787</v>
      </c>
    </row>
    <row r="174" spans="4:16">
      <c r="D174" s="65">
        <f t="shared" si="13"/>
        <v>1349.505125901115</v>
      </c>
      <c r="E174" s="162">
        <v>23.1</v>
      </c>
      <c r="F174" s="9">
        <f t="shared" si="14"/>
        <v>7.9365265055942364</v>
      </c>
      <c r="G174" s="36">
        <f t="shared" si="15"/>
        <v>183.33376227922687</v>
      </c>
      <c r="H174" s="36">
        <f t="shared" si="16"/>
        <v>129.59284414092204</v>
      </c>
      <c r="I174" s="9">
        <f t="shared" si="17"/>
        <v>70.686840508703128</v>
      </c>
      <c r="J174" s="37">
        <f t="shared" si="18"/>
        <v>6532.8037302545981</v>
      </c>
      <c r="K174" s="38">
        <f t="shared" si="19"/>
        <v>129.59284414092207</v>
      </c>
      <c r="L174" s="2">
        <f t="shared" si="20"/>
        <v>7.3609198279897203</v>
      </c>
      <c r="M174" s="38">
        <f t="shared" si="21"/>
        <v>190.592262751947</v>
      </c>
      <c r="N174" s="38">
        <f t="shared" si="22"/>
        <v>150.54774843615914</v>
      </c>
      <c r="O174" s="38">
        <f t="shared" si="23"/>
        <v>9.8279770054343008</v>
      </c>
      <c r="P174" s="34">
        <f t="shared" si="25"/>
        <v>10.14622648891944</v>
      </c>
    </row>
    <row r="175" spans="4:16">
      <c r="D175" s="65">
        <f t="shared" si="13"/>
        <v>1358.7799034902712</v>
      </c>
      <c r="E175" s="162">
        <v>23.2</v>
      </c>
      <c r="F175" s="9">
        <f t="shared" si="14"/>
        <v>7.9896975245661537</v>
      </c>
      <c r="G175" s="36">
        <f t="shared" si="15"/>
        <v>185.36098256993475</v>
      </c>
      <c r="H175" s="36">
        <f t="shared" si="16"/>
        <v>130.93112094661853</v>
      </c>
      <c r="I175" s="9">
        <f t="shared" si="17"/>
        <v>70.635750378167955</v>
      </c>
      <c r="J175" s="37">
        <f t="shared" si="18"/>
        <v>6555.2143723353602</v>
      </c>
      <c r="K175" s="38">
        <f t="shared" si="19"/>
        <v>130.93112094661871</v>
      </c>
      <c r="L175" s="2">
        <f t="shared" si="20"/>
        <v>7.3304526370732734</v>
      </c>
      <c r="M175" s="38">
        <f t="shared" si="21"/>
        <v>192.56046714067699</v>
      </c>
      <c r="N175" s="38">
        <f t="shared" si="22"/>
        <v>152.10242193080731</v>
      </c>
      <c r="O175" s="38">
        <f t="shared" si="23"/>
        <v>9.7625723327036038</v>
      </c>
      <c r="P175" s="34">
        <f t="shared" si="25"/>
        <v>10.142078138181027</v>
      </c>
    </row>
    <row r="176" spans="4:16">
      <c r="D176" s="65">
        <f t="shared" si="13"/>
        <v>1368.0728930161229</v>
      </c>
      <c r="E176" s="162">
        <v>23.3</v>
      </c>
      <c r="F176" s="9">
        <f t="shared" si="14"/>
        <v>8.0429729500559084</v>
      </c>
      <c r="G176" s="36">
        <f t="shared" si="15"/>
        <v>187.40126973630268</v>
      </c>
      <c r="H176" s="36">
        <f t="shared" si="16"/>
        <v>132.27661430804676</v>
      </c>
      <c r="I176" s="9">
        <f t="shared" si="17"/>
        <v>70.584694807125217</v>
      </c>
      <c r="J176" s="37">
        <f t="shared" si="18"/>
        <v>6577.5924395825559</v>
      </c>
      <c r="K176" s="38">
        <f t="shared" si="19"/>
        <v>132.27661430804667</v>
      </c>
      <c r="L176" s="2">
        <f t="shared" si="20"/>
        <v>7.3002327835941276</v>
      </c>
      <c r="M176" s="38">
        <f t="shared" si="21"/>
        <v>194.53928492164476</v>
      </c>
      <c r="N176" s="38">
        <f t="shared" si="22"/>
        <v>153.66547888384795</v>
      </c>
      <c r="O176" s="38">
        <f t="shared" si="23"/>
        <v>9.6979065433084415</v>
      </c>
      <c r="P176" s="34">
        <f t="shared" si="25"/>
        <v>10.137928073063684</v>
      </c>
    </row>
    <row r="177" spans="4:16">
      <c r="D177" s="65">
        <f t="shared" si="13"/>
        <v>1377.3840152932878</v>
      </c>
      <c r="E177" s="162">
        <v>23.4</v>
      </c>
      <c r="F177" s="9">
        <f t="shared" si="14"/>
        <v>8.0963523281045813</v>
      </c>
      <c r="G177" s="36">
        <f t="shared" si="15"/>
        <v>189.45464447764718</v>
      </c>
      <c r="H177" s="36">
        <f t="shared" si="16"/>
        <v>133.62932403350035</v>
      </c>
      <c r="I177" s="9">
        <f t="shared" si="17"/>
        <v>70.533675435582495</v>
      </c>
      <c r="J177" s="37">
        <f t="shared" si="18"/>
        <v>6599.9380736313697</v>
      </c>
      <c r="K177" s="38">
        <f t="shared" si="19"/>
        <v>133.62932403350044</v>
      </c>
      <c r="L177" s="2">
        <f t="shared" si="20"/>
        <v>7.2702573172113425</v>
      </c>
      <c r="M177" s="38">
        <f t="shared" si="21"/>
        <v>196.52871581290955</v>
      </c>
      <c r="N177" s="38">
        <f t="shared" si="22"/>
        <v>155.23691907257705</v>
      </c>
      <c r="O177" s="38">
        <f t="shared" si="23"/>
        <v>9.63396809316726</v>
      </c>
      <c r="P177" s="34">
        <f t="shared" si="25"/>
        <v>10.133776291440162</v>
      </c>
    </row>
    <row r="178" spans="4:16">
      <c r="D178" s="65">
        <f t="shared" si="13"/>
        <v>1386.7131917085439</v>
      </c>
      <c r="E178" s="162">
        <v>23.5</v>
      </c>
      <c r="F178" s="9">
        <f t="shared" si="14"/>
        <v>8.1498352080334922</v>
      </c>
      <c r="G178" s="36">
        <f t="shared" si="15"/>
        <v>191.52112738878708</v>
      </c>
      <c r="H178" s="36">
        <f t="shared" si="16"/>
        <v>134.98924988759057</v>
      </c>
      <c r="I178" s="9">
        <f t="shared" si="17"/>
        <v>70.482693856309112</v>
      </c>
      <c r="J178" s="37">
        <f t="shared" si="18"/>
        <v>6622.2514150935503</v>
      </c>
      <c r="K178" s="38">
        <f t="shared" si="19"/>
        <v>134.98924988759038</v>
      </c>
      <c r="L178" s="2">
        <f t="shared" si="20"/>
        <v>7.2405233334572117</v>
      </c>
      <c r="M178" s="38">
        <f t="shared" si="21"/>
        <v>198.52875946828311</v>
      </c>
      <c r="N178" s="38">
        <f t="shared" si="22"/>
        <v>156.81674222354312</v>
      </c>
      <c r="O178" s="38">
        <f t="shared" si="23"/>
        <v>9.5707456665029849</v>
      </c>
      <c r="P178" s="34">
        <f t="shared" si="25"/>
        <v>10.129622791178805</v>
      </c>
    </row>
    <row r="179" spans="4:16">
      <c r="D179" s="65">
        <f t="shared" si="13"/>
        <v>1396.0603442150805</v>
      </c>
      <c r="E179" s="162">
        <v>23.6</v>
      </c>
      <c r="F179" s="9">
        <f t="shared" si="14"/>
        <v>8.2034211424109778</v>
      </c>
      <c r="G179" s="36">
        <f t="shared" si="15"/>
        <v>193.60073896089909</v>
      </c>
      <c r="H179" s="36">
        <f t="shared" si="16"/>
        <v>136.35639159188051</v>
      </c>
      <c r="I179" s="9">
        <f t="shared" si="17"/>
        <v>70.431751616103057</v>
      </c>
      <c r="J179" s="37">
        <f t="shared" si="18"/>
        <v>6644.5326035677763</v>
      </c>
      <c r="K179" s="38">
        <f t="shared" si="19"/>
        <v>136.35639159188074</v>
      </c>
      <c r="L179" s="2">
        <f t="shared" si="20"/>
        <v>7.2110279728686271</v>
      </c>
      <c r="M179" s="38">
        <f t="shared" si="21"/>
        <v>200.53941547827014</v>
      </c>
      <c r="N179" s="38">
        <f t="shared" si="22"/>
        <v>158.40494801328774</v>
      </c>
      <c r="O179" s="38">
        <f t="shared" si="23"/>
        <v>9.5082281704088967</v>
      </c>
      <c r="P179" s="34">
        <f t="shared" si="25"/>
        <v>10.125467570143549</v>
      </c>
    </row>
    <row r="180" spans="4:16">
      <c r="D180" s="65">
        <f t="shared" si="13"/>
        <v>1405.425395326778</v>
      </c>
      <c r="E180" s="162">
        <v>23.7</v>
      </c>
      <c r="F180" s="9">
        <f t="shared" si="14"/>
        <v>8.2571096870198843</v>
      </c>
      <c r="G180" s="36">
        <f t="shared" si="15"/>
        <v>195.69349958237126</v>
      </c>
      <c r="H180" s="36">
        <f t="shared" si="16"/>
        <v>137.73074882551236</v>
      </c>
      <c r="I180" s="9">
        <f t="shared" si="17"/>
        <v>70.380850217019486</v>
      </c>
      <c r="J180" s="37">
        <f t="shared" si="18"/>
        <v>6666.7817776497959</v>
      </c>
      <c r="K180" s="38">
        <f t="shared" si="19"/>
        <v>137.73074882551259</v>
      </c>
      <c r="L180" s="2">
        <f t="shared" si="20"/>
        <v>7.1817684201370557</v>
      </c>
      <c r="M180" s="38">
        <f t="shared" si="21"/>
        <v>202.56068337098313</v>
      </c>
      <c r="N180" s="38">
        <f t="shared" si="22"/>
        <v>160.00153606906983</v>
      </c>
      <c r="O180" s="38">
        <f t="shared" si="23"/>
        <v>9.4464047295648061</v>
      </c>
      <c r="P180" s="34">
        <f t="shared" si="25"/>
        <v>10.121310626193896</v>
      </c>
    </row>
    <row r="181" spans="4:16">
      <c r="D181" s="65">
        <f t="shared" si="13"/>
        <v>1414.808268112605</v>
      </c>
      <c r="E181" s="162">
        <v>23.8</v>
      </c>
      <c r="F181" s="9">
        <f t="shared" si="14"/>
        <v>8.3109004008252185</v>
      </c>
      <c r="G181" s="36">
        <f t="shared" si="15"/>
        <v>197.79942953964022</v>
      </c>
      <c r="H181" s="36">
        <f t="shared" si="16"/>
        <v>139.11232122582282</v>
      </c>
      <c r="I181" s="9">
        <f t="shared" si="17"/>
        <v>70.329991117564802</v>
      </c>
      <c r="J181" s="37">
        <f t="shared" si="18"/>
        <v>6688.9990749425324</v>
      </c>
      <c r="K181" s="38">
        <f t="shared" si="19"/>
        <v>139.112321225823</v>
      </c>
      <c r="L181" s="2">
        <f t="shared" si="20"/>
        <v>7.1527419032776773</v>
      </c>
      <c r="M181" s="38">
        <f t="shared" si="21"/>
        <v>204.59256261305342</v>
      </c>
      <c r="N181" s="38">
        <f t="shared" si="22"/>
        <v>161.60650596958453</v>
      </c>
      <c r="O181" s="38">
        <f t="shared" si="23"/>
        <v>9.3852646810994287</v>
      </c>
      <c r="P181" s="34">
        <f t="shared" si="25"/>
        <v>10.117151957184902</v>
      </c>
    </row>
    <row r="182" spans="4:16">
      <c r="D182" s="65">
        <f t="shared" si="13"/>
        <v>1424.2088861910579</v>
      </c>
      <c r="E182" s="162">
        <v>23.9</v>
      </c>
      <c r="F182" s="9">
        <f t="shared" si="14"/>
        <v>8.3647928459423468</v>
      </c>
      <c r="G182" s="36">
        <f t="shared" si="15"/>
        <v>199.91854901802208</v>
      </c>
      <c r="H182" s="36">
        <f t="shared" si="16"/>
        <v>140.50110838895026</v>
      </c>
      <c r="I182" s="9">
        <f t="shared" si="17"/>
        <v>70.279175733855737</v>
      </c>
      <c r="J182" s="37">
        <f t="shared" si="18"/>
        <v>6711.1846320659879</v>
      </c>
      <c r="K182" s="38">
        <f t="shared" si="19"/>
        <v>140.50110838895051</v>
      </c>
      <c r="L182" s="2">
        <f t="shared" si="20"/>
        <v>7.1239456928164762</v>
      </c>
      <c r="M182" s="38">
        <f t="shared" si="21"/>
        <v>206.63505261052202</v>
      </c>
      <c r="N182" s="38">
        <f t="shared" si="22"/>
        <v>163.21985724566687</v>
      </c>
      <c r="O182" s="38">
        <f t="shared" si="23"/>
        <v>9.324797569593942</v>
      </c>
      <c r="P182" s="34">
        <f t="shared" si="25"/>
        <v>10.112991560967181</v>
      </c>
    </row>
    <row r="183" spans="4:16">
      <c r="D183" s="65">
        <f t="shared" si="13"/>
        <v>1433.6271737246789</v>
      </c>
      <c r="E183" s="162">
        <v>24</v>
      </c>
      <c r="F183" s="9">
        <f t="shared" si="14"/>
        <v>8.4187865876056254</v>
      </c>
      <c r="G183" s="36">
        <f t="shared" si="15"/>
        <v>202.05087810253502</v>
      </c>
      <c r="H183" s="36">
        <f t="shared" si="16"/>
        <v>141.89710987043324</v>
      </c>
      <c r="I183" s="9">
        <f t="shared" si="17"/>
        <v>70.228405440744751</v>
      </c>
      <c r="J183" s="37">
        <f t="shared" si="18"/>
        <v>6733.3385846670453</v>
      </c>
      <c r="K183" s="38">
        <f t="shared" si="19"/>
        <v>141.89710987043338</v>
      </c>
      <c r="L183" s="2">
        <f t="shared" si="20"/>
        <v>7.0953771009950977</v>
      </c>
      <c r="M183" s="38">
        <f t="shared" si="21"/>
        <v>208.68815270971857</v>
      </c>
      <c r="N183" s="38">
        <f t="shared" si="22"/>
        <v>164.84158938098633</v>
      </c>
      <c r="O183" s="38">
        <f t="shared" si="23"/>
        <v>9.2649931422223943</v>
      </c>
      <c r="P183" s="34">
        <f t="shared" si="25"/>
        <v>10.10882943538687</v>
      </c>
    </row>
    <row r="184" spans="4:16">
      <c r="D184" s="65">
        <f t="shared" si="13"/>
        <v>1443.0630554146517</v>
      </c>
      <c r="E184" s="162">
        <v>24.1</v>
      </c>
      <c r="F184" s="9">
        <f t="shared" si="14"/>
        <v>8.4728811941373277</v>
      </c>
      <c r="G184" s="36">
        <f t="shared" si="15"/>
        <v>204.1964367787096</v>
      </c>
      <c r="H184" s="36">
        <f t="shared" si="16"/>
        <v>143.30032518579878</v>
      </c>
      <c r="I184" s="9">
        <f t="shared" si="17"/>
        <v>70.17768157291367</v>
      </c>
      <c r="J184" s="37">
        <f t="shared" si="18"/>
        <v>6755.4610674291534</v>
      </c>
      <c r="K184" s="38">
        <f t="shared" si="19"/>
        <v>143.30032518579884</v>
      </c>
      <c r="L184" s="2">
        <f t="shared" si="20"/>
        <v>7.0670334809931985</v>
      </c>
      <c r="M184" s="38">
        <f t="shared" si="21"/>
        <v>210.75186219812872</v>
      </c>
      <c r="N184" s="38">
        <f t="shared" si="22"/>
        <v>166.47170181273208</v>
      </c>
      <c r="O184" s="38">
        <f t="shared" si="23"/>
        <v>9.2058413440248437</v>
      </c>
      <c r="P184" s="34">
        <f t="shared" si="25"/>
        <v>10.104665578285628</v>
      </c>
    </row>
    <row r="185" spans="4:16">
      <c r="D185" s="65">
        <f t="shared" si="13"/>
        <v>1452.5164564954594</v>
      </c>
      <c r="E185" s="162">
        <v>24.2</v>
      </c>
      <c r="F185" s="9">
        <f t="shared" si="14"/>
        <v>8.5270762369170683</v>
      </c>
      <c r="G185" s="36">
        <f t="shared" si="15"/>
        <v>206.35524493339304</v>
      </c>
      <c r="H185" s="36">
        <f t="shared" si="16"/>
        <v>144.71075381114318</v>
      </c>
      <c r="I185" s="9">
        <f t="shared" si="17"/>
        <v>70.127005425935579</v>
      </c>
      <c r="J185" s="37">
        <f t="shared" si="18"/>
        <v>6777.5522140818748</v>
      </c>
      <c r="K185" s="38">
        <f t="shared" si="19"/>
        <v>144.71075381114312</v>
      </c>
      <c r="L185" s="2">
        <f t="shared" si="20"/>
        <v>7.0389122261675485</v>
      </c>
      <c r="M185" s="38">
        <f t="shared" si="21"/>
        <v>212.82618030524716</v>
      </c>
      <c r="N185" s="38">
        <f t="shared" si="22"/>
        <v>168.11019393228602</v>
      </c>
      <c r="O185" s="38">
        <f t="shared" si="23"/>
        <v>9.1473323133089064</v>
      </c>
      <c r="P185" s="34">
        <f t="shared" si="25"/>
        <v>10.100499987500624</v>
      </c>
    </row>
    <row r="186" spans="4:16">
      <c r="D186" s="65">
        <f t="shared" si="13"/>
        <v>1461.9873027296085</v>
      </c>
      <c r="E186" s="162">
        <v>24.3</v>
      </c>
      <c r="F186" s="9">
        <f t="shared" si="14"/>
        <v>8.5813712903515427</v>
      </c>
      <c r="G186" s="36">
        <f t="shared" si="15"/>
        <v>208.52732235554248</v>
      </c>
      <c r="H186" s="36">
        <f t="shared" si="16"/>
        <v>146.12839518370299</v>
      </c>
      <c r="I186" s="9">
        <f t="shared" si="17"/>
        <v>70.076378257306587</v>
      </c>
      <c r="J186" s="37">
        <f t="shared" si="18"/>
        <v>6799.612157410319</v>
      </c>
      <c r="K186" s="38">
        <f t="shared" si="19"/>
        <v>146.12839518370296</v>
      </c>
      <c r="L186" s="2">
        <f t="shared" si="20"/>
        <v>7.0110107693077088</v>
      </c>
      <c r="M186" s="38">
        <f t="shared" si="21"/>
        <v>214.91110620341746</v>
      </c>
      <c r="N186" s="38">
        <f t="shared" si="22"/>
        <v>169.75706508588729</v>
      </c>
      <c r="O186" s="38">
        <f t="shared" si="23"/>
        <v>9.0894563771758996</v>
      </c>
      <c r="P186" s="34">
        <f t="shared" si="25"/>
        <v>10.096332660864517</v>
      </c>
    </row>
    <row r="187" spans="4:16">
      <c r="D187" s="65">
        <f t="shared" si="13"/>
        <v>1471.475520402425</v>
      </c>
      <c r="E187" s="162">
        <v>24.4</v>
      </c>
      <c r="F187" s="9">
        <f t="shared" si="14"/>
        <v>8.6357659318447162</v>
      </c>
      <c r="G187" s="36">
        <f t="shared" si="15"/>
        <v>210.71268873701106</v>
      </c>
      <c r="H187" s="36">
        <f t="shared" si="16"/>
        <v>147.55324870241836</v>
      </c>
      <c r="I187" s="9">
        <f t="shared" si="17"/>
        <v>70.025801287448076</v>
      </c>
      <c r="J187" s="37">
        <f t="shared" si="18"/>
        <v>6821.6410292644487</v>
      </c>
      <c r="K187" s="38">
        <f t="shared" si="19"/>
        <v>147.55324870241839</v>
      </c>
      <c r="L187" s="2">
        <f t="shared" si="20"/>
        <v>6.9833265819077592</v>
      </c>
      <c r="M187" s="38">
        <f t="shared" si="21"/>
        <v>217.00663900866044</v>
      </c>
      <c r="N187" s="38">
        <f t="shared" si="22"/>
        <v>171.41231457528568</v>
      </c>
      <c r="O187" s="38">
        <f t="shared" si="23"/>
        <v>9.0322040471676086</v>
      </c>
      <c r="P187" s="34">
        <f t="shared" si="25"/>
        <v>10.092163596205445</v>
      </c>
    </row>
    <row r="188" spans="4:16">
      <c r="D188" s="65">
        <f t="shared" si="13"/>
        <v>1480.9810363169167</v>
      </c>
      <c r="E188" s="162">
        <v>24.5</v>
      </c>
      <c r="F188" s="9">
        <f t="shared" si="14"/>
        <v>8.6902597417683154</v>
      </c>
      <c r="G188" s="36">
        <f t="shared" si="15"/>
        <v>212.91136367332373</v>
      </c>
      <c r="H188" s="36">
        <f t="shared" si="16"/>
        <v>148.9853137284874</v>
      </c>
      <c r="I188" s="9">
        <f t="shared" si="17"/>
        <v>69.975275700680783</v>
      </c>
      <c r="J188" s="37">
        <f t="shared" si="18"/>
        <v>6843.6389605682862</v>
      </c>
      <c r="K188" s="38">
        <f t="shared" si="19"/>
        <v>148.98531372848785</v>
      </c>
      <c r="L188" s="2">
        <f t="shared" si="20"/>
        <v>6.9558571734537864</v>
      </c>
      <c r="M188" s="38">
        <f t="shared" si="21"/>
        <v>219.11277778149042</v>
      </c>
      <c r="N188" s="38">
        <f t="shared" si="22"/>
        <v>173.07594165838668</v>
      </c>
      <c r="O188" s="38">
        <f t="shared" si="23"/>
        <v>8.9755660150301058</v>
      </c>
      <c r="P188" s="34">
        <f t="shared" si="25"/>
        <v>10.087992791347018</v>
      </c>
    </row>
    <row r="189" spans="4:16">
      <c r="D189" s="165">
        <f t="shared" si="13"/>
        <v>1503.8644174565898</v>
      </c>
      <c r="E189" s="163">
        <v>24.74</v>
      </c>
      <c r="F189" s="17">
        <f t="shared" si="14"/>
        <v>8.8214470054006124</v>
      </c>
      <c r="G189" s="61">
        <f t="shared" si="15"/>
        <v>218.24259891361115</v>
      </c>
      <c r="H189" s="61">
        <f t="shared" si="16"/>
        <v>152.45168861920209</v>
      </c>
      <c r="I189" s="17">
        <f t="shared" si="17"/>
        <v>69.854230740511099</v>
      </c>
      <c r="J189" s="62">
        <f t="shared" si="18"/>
        <v>6896.3085343150078</v>
      </c>
      <c r="K189" s="38">
        <f t="shared" si="19"/>
        <v>152.4516886192022</v>
      </c>
      <c r="L189" s="2">
        <f t="shared" si="20"/>
        <v>6.8907922877690684</v>
      </c>
      <c r="M189" s="38">
        <f t="shared" si="21"/>
        <v>224.21077712201981</v>
      </c>
      <c r="N189" s="38">
        <f t="shared" si="22"/>
        <v>177.10282245178303</v>
      </c>
      <c r="O189" s="38">
        <f>0.65*60*O$58/(F189*1000)</f>
        <v>8.8420867860167736</v>
      </c>
      <c r="P189" s="34">
        <f t="shared" si="25"/>
        <v>10.077975746613136</v>
      </c>
    </row>
  </sheetData>
  <phoneticPr fontId="1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Z203"/>
  <sheetViews>
    <sheetView topLeftCell="B16" workbookViewId="0">
      <selection activeCell="I51" sqref="I51"/>
    </sheetView>
  </sheetViews>
  <sheetFormatPr baseColWidth="10" defaultRowHeight="15"/>
  <cols>
    <col min="3" max="3" width="12.1640625" bestFit="1" customWidth="1"/>
    <col min="8" max="8" width="12.6640625" bestFit="1" customWidth="1"/>
    <col min="20" max="20" width="13.1640625" bestFit="1" customWidth="1"/>
    <col min="22" max="22" width="12.83203125" bestFit="1" customWidth="1"/>
  </cols>
  <sheetData>
    <row r="1" spans="1:13" ht="18">
      <c r="A1" s="21" t="s">
        <v>120</v>
      </c>
      <c r="B1" s="22"/>
      <c r="C1" s="22"/>
      <c r="D1" s="22"/>
      <c r="E1" s="22"/>
      <c r="F1" s="22"/>
      <c r="G1" s="22"/>
      <c r="H1" s="23"/>
    </row>
    <row r="2" spans="1:13" ht="18">
      <c r="A2" s="45" t="s">
        <v>258</v>
      </c>
      <c r="B2" s="46"/>
      <c r="C2" s="46"/>
      <c r="D2" s="46"/>
      <c r="E2" s="46"/>
      <c r="F2" s="46"/>
      <c r="G2" s="46"/>
      <c r="H2" s="47"/>
    </row>
    <row r="3" spans="1:13" ht="19" thickBot="1">
      <c r="A3" s="24" t="s">
        <v>343</v>
      </c>
      <c r="B3" s="25"/>
      <c r="C3" s="25"/>
      <c r="D3" s="25"/>
      <c r="E3" s="25"/>
      <c r="F3" s="25"/>
      <c r="G3" s="25"/>
      <c r="H3" s="26"/>
    </row>
    <row r="4" spans="1:13" ht="18">
      <c r="A4" s="20"/>
    </row>
    <row r="5" spans="1:13">
      <c r="F5" s="48" t="s">
        <v>176</v>
      </c>
      <c r="G5" s="49"/>
      <c r="H5" s="49"/>
      <c r="I5" s="49"/>
      <c r="J5" s="49"/>
      <c r="K5" s="49"/>
      <c r="L5" s="49"/>
      <c r="M5" s="50"/>
    </row>
    <row r="6" spans="1:13">
      <c r="F6" s="51" t="s">
        <v>245</v>
      </c>
      <c r="G6" s="28"/>
      <c r="H6" s="28"/>
      <c r="I6" s="28"/>
      <c r="J6" s="28"/>
      <c r="K6" s="28"/>
      <c r="L6" s="28"/>
      <c r="M6" s="29"/>
    </row>
    <row r="7" spans="1:13">
      <c r="F7" s="51" t="s">
        <v>246</v>
      </c>
      <c r="G7" s="28" t="s">
        <v>177</v>
      </c>
      <c r="H7" s="28"/>
      <c r="I7" s="28" t="s">
        <v>310</v>
      </c>
      <c r="J7" s="28" t="s">
        <v>180</v>
      </c>
      <c r="K7" s="28" t="s">
        <v>181</v>
      </c>
      <c r="L7" s="28" t="s">
        <v>182</v>
      </c>
      <c r="M7" s="29" t="s">
        <v>248</v>
      </c>
    </row>
    <row r="8" spans="1:13">
      <c r="F8" s="51" t="s">
        <v>183</v>
      </c>
      <c r="G8" s="28" t="s">
        <v>178</v>
      </c>
      <c r="H8" s="28" t="s">
        <v>247</v>
      </c>
      <c r="I8" s="28" t="s">
        <v>185</v>
      </c>
      <c r="J8" s="28" t="s">
        <v>64</v>
      </c>
      <c r="K8" s="28" t="s">
        <v>189</v>
      </c>
      <c r="L8" s="28" t="s">
        <v>190</v>
      </c>
      <c r="M8" s="29"/>
    </row>
    <row r="9" spans="1:13">
      <c r="F9" s="51">
        <v>1.2</v>
      </c>
      <c r="G9" s="28">
        <f>1/F9*1000</f>
        <v>833.33333333333337</v>
      </c>
      <c r="H9" s="28">
        <f>G9*60/7</f>
        <v>7142.8571428571431</v>
      </c>
      <c r="I9" s="28">
        <v>1480</v>
      </c>
      <c r="J9" s="28">
        <f>L9/K9</f>
        <v>13.25</v>
      </c>
      <c r="K9" s="28">
        <v>16</v>
      </c>
      <c r="L9" s="28">
        <v>212</v>
      </c>
      <c r="M9" s="29" t="s">
        <v>188</v>
      </c>
    </row>
    <row r="10" spans="1:13">
      <c r="F10" s="51">
        <v>1.36</v>
      </c>
      <c r="G10" s="28">
        <f>1/F10*1000</f>
        <v>735.29411764705878</v>
      </c>
      <c r="H10" s="28">
        <f t="shared" ref="H10:H11" si="0">G10*60/7</f>
        <v>6302.5210084033606</v>
      </c>
      <c r="I10" s="28">
        <v>1700</v>
      </c>
      <c r="J10" s="28">
        <f>L10/K10</f>
        <v>12.747747747747749</v>
      </c>
      <c r="K10" s="28">
        <v>22.2</v>
      </c>
      <c r="L10" s="28">
        <v>283</v>
      </c>
      <c r="M10" s="29" t="s">
        <v>186</v>
      </c>
    </row>
    <row r="11" spans="1:13">
      <c r="F11" s="52">
        <v>1.32</v>
      </c>
      <c r="G11" s="53">
        <f t="shared" ref="G11" si="1">1/F11*1000</f>
        <v>757.57575757575762</v>
      </c>
      <c r="H11" s="53">
        <f t="shared" si="0"/>
        <v>6493.5064935064938</v>
      </c>
      <c r="I11" s="53">
        <v>1450</v>
      </c>
      <c r="J11" s="53">
        <f t="shared" ref="J11" si="2">L11/K11</f>
        <v>12.96875</v>
      </c>
      <c r="K11" s="53">
        <v>19.2</v>
      </c>
      <c r="L11" s="53">
        <v>249</v>
      </c>
      <c r="M11" s="54" t="s">
        <v>187</v>
      </c>
    </row>
    <row r="14" spans="1:13">
      <c r="D14" t="s">
        <v>52</v>
      </c>
      <c r="E14">
        <v>125</v>
      </c>
    </row>
    <row r="17" spans="1:26" ht="16">
      <c r="C17" s="1" t="s">
        <v>317</v>
      </c>
      <c r="K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6" ht="16">
      <c r="C18" s="3" t="s">
        <v>296</v>
      </c>
      <c r="D18" s="4"/>
      <c r="E18" s="4"/>
      <c r="F18" s="4"/>
      <c r="G18" s="4"/>
      <c r="H18" s="4"/>
      <c r="I18" s="4"/>
      <c r="K18" s="2"/>
      <c r="M18" s="4" t="s">
        <v>157</v>
      </c>
      <c r="N18" s="4">
        <v>620</v>
      </c>
      <c r="O18" s="2"/>
      <c r="P18" s="10" t="s">
        <v>63</v>
      </c>
      <c r="Q18" s="5">
        <v>1.3</v>
      </c>
      <c r="R18" s="2" t="s">
        <v>189</v>
      </c>
      <c r="S18" s="2"/>
      <c r="T18" s="2"/>
      <c r="U18" s="2"/>
      <c r="V18" s="2"/>
      <c r="W18" s="2"/>
      <c r="X18" s="2"/>
    </row>
    <row r="19" spans="1:26">
      <c r="K19" s="2"/>
      <c r="M19" s="4" t="s">
        <v>158</v>
      </c>
      <c r="N19" s="4">
        <v>0.108</v>
      </c>
      <c r="O19" s="2"/>
      <c r="P19" t="s">
        <v>383</v>
      </c>
      <c r="Q19" s="2">
        <v>35</v>
      </c>
      <c r="R19" s="2" t="s">
        <v>19</v>
      </c>
      <c r="S19" s="2"/>
      <c r="T19" s="2"/>
      <c r="U19" s="2" t="s">
        <v>159</v>
      </c>
      <c r="V19" s="2"/>
      <c r="W19" s="2"/>
      <c r="X19" s="2"/>
    </row>
    <row r="20" spans="1:26" ht="17">
      <c r="E20" s="5" t="s">
        <v>160</v>
      </c>
      <c r="F20" s="5"/>
      <c r="H20" t="s">
        <v>34</v>
      </c>
      <c r="I20">
        <v>5700</v>
      </c>
      <c r="K20" s="2"/>
      <c r="M20" s="4" t="s">
        <v>250</v>
      </c>
      <c r="N20" s="4">
        <v>0</v>
      </c>
      <c r="O20" s="2"/>
      <c r="P20" s="2" t="s">
        <v>17</v>
      </c>
      <c r="Q20" s="2">
        <v>290</v>
      </c>
      <c r="R20" s="2" t="s">
        <v>18</v>
      </c>
      <c r="S20" t="s">
        <v>179</v>
      </c>
      <c r="T20" s="2"/>
      <c r="U20" s="2" t="s">
        <v>35</v>
      </c>
      <c r="V20" s="2"/>
      <c r="W20" s="2"/>
      <c r="X20" s="2"/>
      <c r="Y20" t="s">
        <v>13</v>
      </c>
    </row>
    <row r="21" spans="1:26" ht="17">
      <c r="K21" s="2"/>
      <c r="O21" s="2"/>
      <c r="P21" s="2" t="s">
        <v>20</v>
      </c>
      <c r="Q21" s="2">
        <f>Q20/Q19</f>
        <v>8.2857142857142865</v>
      </c>
      <c r="R21" s="2" t="s">
        <v>21</v>
      </c>
      <c r="S21" s="2"/>
      <c r="T21" s="2"/>
      <c r="U21" s="2" t="s">
        <v>243</v>
      </c>
      <c r="V21" s="2"/>
      <c r="W21" s="2"/>
      <c r="X21" s="2"/>
      <c r="Y21" s="31" t="s">
        <v>22</v>
      </c>
    </row>
    <row r="22" spans="1:26">
      <c r="K22" s="2"/>
      <c r="O22" s="6"/>
      <c r="P22" s="2"/>
      <c r="Q22" s="2"/>
      <c r="R22" s="2"/>
      <c r="S22" s="2"/>
      <c r="T22" s="2"/>
      <c r="U22" s="2"/>
      <c r="V22" s="2"/>
      <c r="W22" s="6"/>
      <c r="X22" s="6"/>
    </row>
    <row r="23" spans="1:26" ht="17">
      <c r="A23" s="5" t="s">
        <v>249</v>
      </c>
      <c r="B23" s="5">
        <v>13</v>
      </c>
      <c r="C23" s="5" t="s">
        <v>244</v>
      </c>
      <c r="D23" s="5" t="s">
        <v>266</v>
      </c>
      <c r="E23" s="5" t="s">
        <v>102</v>
      </c>
      <c r="F23" s="5" t="s">
        <v>103</v>
      </c>
      <c r="G23" s="7" t="s">
        <v>91</v>
      </c>
      <c r="H23" s="7" t="s">
        <v>92</v>
      </c>
      <c r="I23" s="7"/>
      <c r="J23" s="7" t="s">
        <v>93</v>
      </c>
      <c r="K23" s="7" t="s">
        <v>94</v>
      </c>
      <c r="L23" s="8" t="s">
        <v>95</v>
      </c>
      <c r="M23" s="7" t="s">
        <v>96</v>
      </c>
      <c r="N23" s="8" t="s">
        <v>322</v>
      </c>
      <c r="O23" s="5" t="s">
        <v>259</v>
      </c>
      <c r="P23" s="7" t="s">
        <v>323</v>
      </c>
      <c r="Q23" s="7" t="s">
        <v>324</v>
      </c>
      <c r="R23" s="7" t="s">
        <v>42</v>
      </c>
      <c r="S23" s="7" t="s">
        <v>43</v>
      </c>
      <c r="T23" s="7" t="s">
        <v>260</v>
      </c>
      <c r="U23" s="7" t="s">
        <v>44</v>
      </c>
      <c r="V23" s="7" t="s">
        <v>191</v>
      </c>
      <c r="W23" s="7" t="s">
        <v>192</v>
      </c>
      <c r="X23" s="7"/>
      <c r="Y23" s="7" t="s">
        <v>16</v>
      </c>
      <c r="Z23" s="7" t="s">
        <v>383</v>
      </c>
    </row>
    <row r="24" spans="1:26">
      <c r="A24" s="5" t="s">
        <v>109</v>
      </c>
      <c r="B24" s="5">
        <v>4</v>
      </c>
      <c r="C24" s="27">
        <v>1480</v>
      </c>
      <c r="D24" s="27">
        <v>16</v>
      </c>
      <c r="E24" s="27">
        <v>212</v>
      </c>
      <c r="F24" s="27">
        <f>H9</f>
        <v>7142.8571428571431</v>
      </c>
      <c r="G24" s="7">
        <f>K24/E24*100</f>
        <v>79.884646667390243</v>
      </c>
      <c r="H24" s="7">
        <f>C24/E24</f>
        <v>6.9811320754716979</v>
      </c>
      <c r="I24" s="7" t="s">
        <v>193</v>
      </c>
      <c r="J24" s="7">
        <f>E24/D24</f>
        <v>13.25</v>
      </c>
      <c r="K24" s="7">
        <f>E24*W24/100</f>
        <v>169.35545093486732</v>
      </c>
      <c r="L24" s="8">
        <v>230</v>
      </c>
      <c r="M24" s="7">
        <f>POWER(F24/$I$20,3)*100</f>
        <v>196.78469860117102</v>
      </c>
      <c r="N24" s="8">
        <f>1.30652287/(13*0.0254)*POWER(C24*0.00981,3/2)</f>
        <v>218.89509573316474</v>
      </c>
      <c r="O24" s="27">
        <v>100</v>
      </c>
      <c r="P24" s="7">
        <f>(0.5+(0.00000036*$B$25*$N$18^3*($B$24*0.0254)*($B$23*0.0254)^4)*($N$19+$N$20)*$R$24-(0.25-(0.00000036*$B$25*$N$18^3*($B$24*0.0254)*($B$23*0.0254)^4)*(($N$19+$N$20)^2*$Q$18-($N$19+$N$20)*$R$24))^(1/2))/((0.00000036*$B$25*$N$18^3*($B$24*0.0254)*($B$23*0.0254)^4)*($N$19+$N$20)^2)</f>
        <v>16.005192752588904</v>
      </c>
      <c r="Q24" s="7">
        <f t="shared" ref="Q24" si="3">$N$19*D24*O24/100</f>
        <v>1.7280000000000002</v>
      </c>
      <c r="R24" s="7">
        <f>J24*O24/100</f>
        <v>13.25</v>
      </c>
      <c r="S24" s="7">
        <f>$N$18*(R24-(D24*$N$19))</f>
        <v>7143.64</v>
      </c>
      <c r="T24" s="7">
        <f t="shared" ref="T24" si="4">C24/(E24*G24/100)</f>
        <v>8.7390160271203516</v>
      </c>
      <c r="U24" s="7">
        <f t="shared" ref="U24" si="5">L24/(2*PI()*F24/60)</f>
        <v>0.30748735005354183</v>
      </c>
      <c r="V24" s="7">
        <f>$N$19*P24^2+($Q$18*(R24-Q24))</f>
        <v>42.644549065132637</v>
      </c>
      <c r="W24" s="7">
        <f>(E24-V24)/E24*100</f>
        <v>79.884646667390257</v>
      </c>
      <c r="X24" s="7"/>
      <c r="Y24" s="7">
        <f>($N$19*$Q$19^2+$Q$18*(($Q$20/$Q$19)-$Q$19*$N$19))/2</f>
        <v>69.078714285714298</v>
      </c>
      <c r="Z24" s="7">
        <f>($N$19*$Q$18+SQRT($N$19^2*$Q$18^2+4*$N$19*(Y24-(R24*$Q$18))))/(2*$N$19)</f>
        <v>22.571438915522499</v>
      </c>
    </row>
    <row r="25" spans="1:26">
      <c r="A25" s="4" t="s">
        <v>110</v>
      </c>
      <c r="B25" s="4">
        <v>1.069</v>
      </c>
      <c r="E25" s="7" t="s">
        <v>255</v>
      </c>
      <c r="F25" s="7">
        <f>F24/S24*100</f>
        <v>99.989041201084362</v>
      </c>
      <c r="G25" s="7" t="s">
        <v>256</v>
      </c>
      <c r="H25" s="2"/>
      <c r="I25" s="2"/>
      <c r="J25" s="2"/>
      <c r="K25" s="2"/>
      <c r="L25" s="2"/>
      <c r="M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F26" s="7" t="s">
        <v>67</v>
      </c>
      <c r="G26" s="7"/>
      <c r="H26" s="2"/>
      <c r="I26" s="2"/>
      <c r="J26" s="2"/>
      <c r="K26" s="2"/>
      <c r="L26" s="2"/>
      <c r="M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G27" s="2"/>
      <c r="H27" s="2"/>
      <c r="I27" s="2"/>
      <c r="J27" s="2"/>
      <c r="K27" s="2"/>
      <c r="L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6">
      <c r="E28" s="5" t="s">
        <v>194</v>
      </c>
      <c r="F28" s="5"/>
      <c r="H28" t="s">
        <v>34</v>
      </c>
      <c r="I28">
        <v>4870</v>
      </c>
      <c r="K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6" ht="17">
      <c r="A29" s="5" t="s">
        <v>249</v>
      </c>
      <c r="B29" s="5">
        <v>13</v>
      </c>
      <c r="C29" s="5" t="s">
        <v>244</v>
      </c>
      <c r="D29" s="5" t="s">
        <v>266</v>
      </c>
      <c r="E29" s="5" t="s">
        <v>102</v>
      </c>
      <c r="F29" s="5" t="s">
        <v>103</v>
      </c>
      <c r="G29" s="7" t="s">
        <v>91</v>
      </c>
      <c r="H29" s="7" t="s">
        <v>92</v>
      </c>
      <c r="I29" s="7"/>
      <c r="J29" s="7" t="s">
        <v>93</v>
      </c>
      <c r="K29" s="7" t="s">
        <v>94</v>
      </c>
      <c r="L29" s="8" t="s">
        <v>95</v>
      </c>
      <c r="M29" s="7" t="s">
        <v>96</v>
      </c>
      <c r="N29" s="8" t="s">
        <v>322</v>
      </c>
      <c r="O29" s="5" t="s">
        <v>259</v>
      </c>
      <c r="P29" s="7" t="s">
        <v>323</v>
      </c>
      <c r="Q29" s="7" t="s">
        <v>324</v>
      </c>
      <c r="R29" s="7" t="s">
        <v>42</v>
      </c>
      <c r="S29" s="7" t="s">
        <v>43</v>
      </c>
      <c r="T29" s="7" t="s">
        <v>260</v>
      </c>
      <c r="U29" s="7" t="s">
        <v>44</v>
      </c>
      <c r="V29" s="7" t="s">
        <v>191</v>
      </c>
      <c r="W29" s="7" t="s">
        <v>192</v>
      </c>
      <c r="X29" s="7"/>
      <c r="Y29" s="7" t="s">
        <v>16</v>
      </c>
      <c r="Z29" s="7" t="s">
        <v>383</v>
      </c>
    </row>
    <row r="30" spans="1:26">
      <c r="A30" s="5" t="s">
        <v>109</v>
      </c>
      <c r="B30" s="5">
        <v>6.5</v>
      </c>
      <c r="C30" s="27">
        <v>1700</v>
      </c>
      <c r="D30" s="27">
        <v>22.2</v>
      </c>
      <c r="E30" s="27">
        <v>283</v>
      </c>
      <c r="F30" s="27">
        <f>H10</f>
        <v>6302.5210084033606</v>
      </c>
      <c r="G30" s="7">
        <f t="shared" ref="G30" si="6">K30/E30*100</f>
        <v>76.432946946030768</v>
      </c>
      <c r="H30" s="7">
        <f>C30/E30</f>
        <v>6.0070671378091873</v>
      </c>
      <c r="I30" s="7" t="s">
        <v>193</v>
      </c>
      <c r="J30" s="7">
        <f>E30/D30</f>
        <v>12.747747747747749</v>
      </c>
      <c r="K30" s="7">
        <f>E30*W30/100</f>
        <v>216.30523985726705</v>
      </c>
      <c r="L30" s="8">
        <v>206</v>
      </c>
      <c r="M30" s="7">
        <f>POWER(F30/$I$28,3)*100</f>
        <v>216.74846092883126</v>
      </c>
      <c r="N30" s="8">
        <f t="shared" ref="N30" si="7">1.30652287/(13*0.0254)*POWER(C30*0.00981,3/2)</f>
        <v>269.47398230174122</v>
      </c>
      <c r="O30" s="27">
        <v>100</v>
      </c>
      <c r="P30" s="7">
        <f>(0.5+(0.00000036*$B$31*$N$18^3*($B$30*0.0254)*($B$29*0.0254)^4)*($N$19+$N$20)*$R$24-(0.25-(0.00000036*$B$31*$N$18^3*($B$30*0.0254)*($B$29*0.0254)^4)*(($N$19+$N$20)^2*$Q$18-($N$19+$N$20)*$R$24))^(1/2))/((0.00000036*$B$31*$N$18^3*($B$30*0.0254)*($B$29*0.0254)^4)*($N$19+$N$20)^2)</f>
        <v>22.202679199079341</v>
      </c>
      <c r="Q30" s="7">
        <f t="shared" ref="Q30" si="8">$N$19*D30*O30/100</f>
        <v>2.3975999999999997</v>
      </c>
      <c r="R30" s="7">
        <f>J30*O30/100</f>
        <v>12.747747747747749</v>
      </c>
      <c r="S30" s="7">
        <f>$N$18*(R30-(D30*$N$19))</f>
        <v>6417.0916036036033</v>
      </c>
      <c r="T30" s="7">
        <f t="shared" ref="T30" si="9">C30/(E30*G30/100)</f>
        <v>7.8592640710959003</v>
      </c>
      <c r="U30" s="7">
        <f t="shared" ref="U30" si="10">L30/(2*PI()*F30/60)</f>
        <v>0.31212194199637783</v>
      </c>
      <c r="V30" s="7">
        <f>$N$19*P30*P30+($Q$18*(R30-Q30))</f>
        <v>66.694760142732974</v>
      </c>
      <c r="W30" s="7">
        <f>(E30-V30)/E30*100</f>
        <v>76.432946946030754</v>
      </c>
      <c r="X30" s="7"/>
      <c r="Y30" s="7">
        <f>($N$19*$Q$19^2+$Q$18*(($Q$20/$Q$19)-$Q$19*$N$19))/2</f>
        <v>69.078714285714298</v>
      </c>
      <c r="Z30" s="7">
        <f>($N$19*$Q$18+SQRT($N$19^2*$Q$18^2+4*$N$19*(Y30-(R30*$Q$18))))/(2*$N$19)</f>
        <v>22.708900994593538</v>
      </c>
    </row>
    <row r="31" spans="1:26">
      <c r="A31" s="4" t="s">
        <v>110</v>
      </c>
      <c r="B31" s="4">
        <v>1.054</v>
      </c>
      <c r="E31" s="7" t="s">
        <v>255</v>
      </c>
      <c r="F31" s="7">
        <f>F30/S30*100</f>
        <v>98.214602466701521</v>
      </c>
      <c r="G31" s="7" t="s">
        <v>66</v>
      </c>
      <c r="H31" s="2"/>
      <c r="I31" s="2"/>
      <c r="J31" s="2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6">
      <c r="F32" s="7" t="s">
        <v>67</v>
      </c>
      <c r="G32" s="7"/>
      <c r="H32" s="2"/>
      <c r="I32" s="2"/>
      <c r="J32" s="2"/>
      <c r="K32" s="2"/>
      <c r="L32" s="2"/>
      <c r="M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6">
      <c r="G33" s="2"/>
      <c r="H33" s="2"/>
      <c r="I33" s="2"/>
      <c r="J33" s="2"/>
      <c r="K33" s="2"/>
      <c r="L33" s="2"/>
      <c r="M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6">
      <c r="E34" s="5" t="s">
        <v>330</v>
      </c>
      <c r="F34" s="5"/>
      <c r="G34" s="2"/>
      <c r="H34" t="s">
        <v>34</v>
      </c>
      <c r="I34">
        <v>5310</v>
      </c>
      <c r="K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6" ht="17">
      <c r="A35" s="5" t="s">
        <v>249</v>
      </c>
      <c r="B35" s="5">
        <v>14</v>
      </c>
      <c r="C35" s="5" t="s">
        <v>331</v>
      </c>
      <c r="D35" s="5" t="s">
        <v>211</v>
      </c>
      <c r="E35" s="5" t="s">
        <v>212</v>
      </c>
      <c r="F35" s="5" t="s">
        <v>184</v>
      </c>
      <c r="G35" s="7" t="s">
        <v>213</v>
      </c>
      <c r="H35" s="7" t="s">
        <v>214</v>
      </c>
      <c r="I35" s="7"/>
      <c r="J35" s="7" t="s">
        <v>215</v>
      </c>
      <c r="K35" s="7" t="s">
        <v>94</v>
      </c>
      <c r="L35" s="8" t="s">
        <v>95</v>
      </c>
      <c r="M35" s="7" t="s">
        <v>96</v>
      </c>
      <c r="N35" s="8" t="s">
        <v>322</v>
      </c>
      <c r="O35" s="5" t="s">
        <v>259</v>
      </c>
      <c r="P35" s="7" t="s">
        <v>323</v>
      </c>
      <c r="Q35" s="7" t="s">
        <v>324</v>
      </c>
      <c r="R35" s="7" t="s">
        <v>42</v>
      </c>
      <c r="S35" s="7" t="s">
        <v>43</v>
      </c>
      <c r="T35" s="7" t="s">
        <v>260</v>
      </c>
      <c r="U35" s="7" t="s">
        <v>44</v>
      </c>
      <c r="V35" s="7" t="s">
        <v>191</v>
      </c>
      <c r="W35" s="7" t="s">
        <v>192</v>
      </c>
      <c r="X35" s="7"/>
      <c r="Y35" s="7" t="s">
        <v>16</v>
      </c>
      <c r="Z35" s="7" t="s">
        <v>383</v>
      </c>
    </row>
    <row r="36" spans="1:26">
      <c r="A36" s="5" t="s">
        <v>109</v>
      </c>
      <c r="B36" s="5">
        <v>4.7</v>
      </c>
      <c r="C36" s="27">
        <v>1450</v>
      </c>
      <c r="D36" s="27">
        <v>19.2</v>
      </c>
      <c r="E36" s="27">
        <v>249</v>
      </c>
      <c r="F36" s="27">
        <f>H11</f>
        <v>6493.5064935064938</v>
      </c>
      <c r="G36" s="7">
        <f t="shared" ref="G36" si="11">K36/E36*100</f>
        <v>73.551861846245686</v>
      </c>
      <c r="H36" s="7">
        <f>C36/E36</f>
        <v>5.8232931726907626</v>
      </c>
      <c r="I36" s="7" t="s">
        <v>62</v>
      </c>
      <c r="J36" s="7">
        <f>E36/D36</f>
        <v>12.96875</v>
      </c>
      <c r="K36" s="7">
        <f>E36*W36/100</f>
        <v>183.14413599715178</v>
      </c>
      <c r="L36" s="8">
        <v>186</v>
      </c>
      <c r="M36" s="7">
        <f>POWER(F36/$I$34,3)*100</f>
        <v>182.87497267697466</v>
      </c>
      <c r="N36" s="8">
        <f t="shared" ref="N36" si="12">1.30652287/(14*0.0254)*POWER(C36*0.00981,3/2)</f>
        <v>197.11096237759014</v>
      </c>
      <c r="O36" s="27">
        <v>100</v>
      </c>
      <c r="P36" s="7">
        <f>(0.5+(0.00000036*$B$37*$N$18^3*($B$36*0.0254)*($B$35*0.0254)^4)*($N$19+$N$20)*$R$24-(0.25-(0.00000036*$B$37*$N$18^3*($B$36*0.0254)*($B$35*0.0254)^4)*(($N$19+$N$20)^2*$Q$18-($N$19+$N$20)*$R$24))^(1/2))/((0.00000036*$B$37*$N$18^3*($B$36*0.0254)*($B$35*0.0254)^4)*($N$19+$N$20)^2)</f>
        <v>21.877641428426799</v>
      </c>
      <c r="Q36" s="7">
        <f t="shared" ref="Q36" si="13">$N$19*D36*O36/100</f>
        <v>2.0735999999999999</v>
      </c>
      <c r="R36" s="7">
        <f t="shared" ref="R36" si="14">J36*O36/100</f>
        <v>12.96875</v>
      </c>
      <c r="S36" s="7">
        <f>$N$18*(R36-(D36*$N$19))</f>
        <v>6754.9930000000004</v>
      </c>
      <c r="T36" s="7">
        <f t="shared" ref="T36" si="15">C36/(E36*G36/100)</f>
        <v>7.9172614078266221</v>
      </c>
      <c r="U36" s="7">
        <f t="shared" ref="U36" si="16">L36/(2*PI()*F36/60)</f>
        <v>0.27353005139545494</v>
      </c>
      <c r="V36" s="7">
        <f>$N$19*P36*P36+($Q$18*(R36-Q36))</f>
        <v>65.855864002848193</v>
      </c>
      <c r="W36" s="7">
        <f>(E36-V36)/E36*100</f>
        <v>73.5518618462457</v>
      </c>
      <c r="X36" s="7"/>
      <c r="Y36" s="7">
        <f>($N$19*$Q$19^2+$Q$18*(($Q$20/$Q$19)-$Q$19*$N$19))/2</f>
        <v>69.078714285714298</v>
      </c>
      <c r="Z36" s="7">
        <f>($N$19*$Q$18+SQRT($N$19^2*$Q$18^2+4*$N$19*(Y36-(R36*$Q$18))))/(2*$N$19)</f>
        <v>22.648520422829598</v>
      </c>
    </row>
    <row r="37" spans="1:26">
      <c r="A37" s="4" t="s">
        <v>110</v>
      </c>
      <c r="B37" s="4">
        <v>1.06</v>
      </c>
      <c r="E37" s="55" t="s">
        <v>254</v>
      </c>
      <c r="F37" s="7">
        <f>F36/S36*100</f>
        <v>96.128989230728934</v>
      </c>
      <c r="G37" s="7" t="s">
        <v>65</v>
      </c>
      <c r="H37" s="2"/>
      <c r="I37" s="2"/>
      <c r="J37" s="2"/>
      <c r="K37" s="2"/>
      <c r="L37" s="2"/>
      <c r="M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6">
      <c r="F38" s="7" t="s">
        <v>67</v>
      </c>
      <c r="G38" s="7"/>
      <c r="H38" s="2"/>
      <c r="I38" s="2"/>
      <c r="J38" s="2"/>
      <c r="K38" s="2"/>
      <c r="L38" s="2"/>
      <c r="M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6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6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6">
      <c r="C41" s="2"/>
      <c r="D41" s="2"/>
      <c r="E41" s="2"/>
      <c r="F41" s="2"/>
      <c r="G41" s="2"/>
      <c r="H41" s="2" t="s">
        <v>253</v>
      </c>
      <c r="I41" s="2"/>
      <c r="J41" s="2"/>
      <c r="K41" s="2"/>
      <c r="L41" s="2"/>
      <c r="M41" s="2"/>
      <c r="N41" s="2"/>
      <c r="O41" s="6"/>
      <c r="P41" s="2"/>
      <c r="Q41" s="2"/>
      <c r="R41" s="2"/>
      <c r="S41" s="2"/>
      <c r="T41" s="2"/>
      <c r="U41" s="2"/>
      <c r="V41" s="2"/>
      <c r="W41" s="2"/>
      <c r="X41" s="2"/>
    </row>
    <row r="42" spans="1:26">
      <c r="C42" s="2"/>
      <c r="D42" s="2"/>
      <c r="E42" s="2"/>
      <c r="F42" s="2"/>
      <c r="G42" s="2"/>
      <c r="H42" s="2" t="s">
        <v>257</v>
      </c>
      <c r="I42" s="2"/>
      <c r="J42" s="2"/>
      <c r="K42" s="2"/>
      <c r="L42" s="2"/>
      <c r="M42" s="2"/>
      <c r="N42" s="2"/>
      <c r="O42" s="9"/>
      <c r="P42" s="2"/>
      <c r="Q42" s="2"/>
      <c r="R42" s="2"/>
      <c r="S42" s="2"/>
      <c r="T42" s="2"/>
      <c r="U42" s="2"/>
      <c r="V42" s="2"/>
      <c r="W42" s="2"/>
      <c r="X42" s="2"/>
    </row>
    <row r="43" spans="1:26">
      <c r="A43" t="s">
        <v>424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/>
      <c r="P43" s="2"/>
      <c r="Q43" s="2"/>
      <c r="R43" s="2"/>
      <c r="S43" s="2"/>
      <c r="T43" s="2"/>
      <c r="U43" s="2"/>
      <c r="V43" s="2"/>
      <c r="W43" s="2"/>
      <c r="X43" s="2"/>
    </row>
    <row r="44" spans="1:26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 t="s">
        <v>134</v>
      </c>
      <c r="P44" s="2"/>
      <c r="Q44" s="2"/>
      <c r="R44" s="2"/>
      <c r="S44" s="2"/>
      <c r="T44" s="2"/>
      <c r="U44" s="2"/>
      <c r="V44" s="2"/>
      <c r="W44" s="2"/>
      <c r="X44" s="2"/>
    </row>
    <row r="45" spans="1:26">
      <c r="C45" s="2"/>
      <c r="D45" s="2"/>
      <c r="E45" s="2"/>
      <c r="F45" s="2"/>
      <c r="G45" s="2"/>
      <c r="H45" s="2"/>
      <c r="I45" s="2"/>
      <c r="J45" s="2"/>
      <c r="K45" s="4" t="s">
        <v>111</v>
      </c>
      <c r="L45" s="2"/>
      <c r="M45" s="2"/>
      <c r="N45" s="2"/>
      <c r="O45">
        <v>1.5</v>
      </c>
      <c r="P45" s="2" t="s">
        <v>61</v>
      </c>
      <c r="Q45" s="2"/>
      <c r="R45" s="2"/>
      <c r="S45" s="2"/>
      <c r="T45" s="2"/>
      <c r="U45" s="2"/>
      <c r="V45" s="2"/>
      <c r="W45" s="2"/>
      <c r="X45" s="2"/>
    </row>
    <row r="46" spans="1:26">
      <c r="C46" s="2"/>
      <c r="D46" s="2"/>
      <c r="E46" s="2"/>
      <c r="F46" s="2"/>
      <c r="G46" s="2"/>
      <c r="H46" s="2"/>
      <c r="I46" s="2"/>
      <c r="J46" s="2"/>
      <c r="K46" s="4">
        <v>1.34</v>
      </c>
      <c r="M46" s="2" t="s">
        <v>113</v>
      </c>
      <c r="N46" s="2" t="s">
        <v>251</v>
      </c>
      <c r="O46" t="s">
        <v>117</v>
      </c>
      <c r="S46" s="2"/>
      <c r="T46" s="2"/>
      <c r="U46" s="2"/>
      <c r="V46" s="2"/>
      <c r="W46" s="2"/>
      <c r="X46" s="2"/>
    </row>
    <row r="47" spans="1:26">
      <c r="A47" s="5" t="s">
        <v>249</v>
      </c>
      <c r="B47" s="5">
        <f>B23</f>
        <v>13</v>
      </c>
      <c r="C47" s="2"/>
      <c r="D47" s="11" t="s">
        <v>425</v>
      </c>
      <c r="E47" s="12" t="s">
        <v>426</v>
      </c>
      <c r="F47" s="12" t="s">
        <v>427</v>
      </c>
      <c r="G47" s="12" t="s">
        <v>302</v>
      </c>
      <c r="H47" s="12" t="s">
        <v>48</v>
      </c>
      <c r="I47" s="13" t="s">
        <v>43</v>
      </c>
      <c r="J47" s="2" t="s">
        <v>303</v>
      </c>
      <c r="K47" s="2" t="s">
        <v>428</v>
      </c>
      <c r="L47" s="9" t="s">
        <v>112</v>
      </c>
      <c r="M47" s="9" t="s">
        <v>114</v>
      </c>
      <c r="N47" s="9" t="s">
        <v>252</v>
      </c>
      <c r="O47" s="9" t="s">
        <v>119</v>
      </c>
      <c r="P47" t="s">
        <v>383</v>
      </c>
      <c r="S47" s="2"/>
      <c r="T47" s="2"/>
      <c r="U47" s="2"/>
      <c r="V47" s="2"/>
      <c r="W47" s="2"/>
      <c r="X47" s="2"/>
    </row>
    <row r="48" spans="1:26">
      <c r="A48" s="5" t="s">
        <v>109</v>
      </c>
      <c r="B48" s="5">
        <f>B24</f>
        <v>4</v>
      </c>
      <c r="D48" s="35">
        <v>16</v>
      </c>
      <c r="E48" s="32">
        <f>(0.5+(0.00000036*$B$51*$B$52^3*($B$48*0.0254)*($B$47*0.0254)^4)*($B$53+$B$54)*$D48-(0.25-(0.00000036*$B$51*$B$52^3*($B$48*0.0254)*($B$47*0.0254)^4)*(($B$53+$B$54)^2*$B$49-($B$53+$B$54)*$D48))^(1/2))/((0.00000036*$B$51*$B$52^3*($B$48*0.0254)*($B$47*0.0254)^4)*($B$53+$B$54)^2)</f>
        <v>21.895979921147386</v>
      </c>
      <c r="F48" s="36">
        <f t="shared" ref="F48:F53" si="17">D48*E48</f>
        <v>350.33567873835818</v>
      </c>
      <c r="G48" s="36">
        <f>(D48-($B$53+$B$54)*E48)*(E48-$B$49)</f>
        <v>280.83100915489996</v>
      </c>
      <c r="H48" s="36">
        <f t="shared" ref="H48:H53" si="18">G48/F48*100</f>
        <v>80.160550637102958</v>
      </c>
      <c r="I48" s="37">
        <f>$B$52*(D48-(E48*($B$53+$B$54)))</f>
        <v>8453.8451844799711</v>
      </c>
      <c r="J48" s="38">
        <f>(($B$47*0.0254)^4)*($B$48*0.0254)*(I48^3)*2*$B$51*0.00000018</f>
        <v>280.83100915489968</v>
      </c>
      <c r="K48" s="38">
        <f>$K$46*0.6*((0.6*3.1416*($B$47*0.0254)^2*J48^2)^(1/3))/9.81*1000</f>
        <v>2074.1293670163077</v>
      </c>
      <c r="L48" s="38">
        <f t="shared" ref="L48:L53" si="19">K48/F48</f>
        <v>5.9204057505240097</v>
      </c>
      <c r="M48" s="38">
        <f>1.30652287/($B$47*0.0254)*POWER(K48*0.00981,3/2)</f>
        <v>363.15934092929183</v>
      </c>
      <c r="N48" s="38">
        <f t="shared" ref="N48:N53" si="20">POWER(I48/$B$50,3)*100</f>
        <v>326.24082293733755</v>
      </c>
      <c r="O48" s="38">
        <f>0.65*60*O$45/E48</f>
        <v>2.6717233122551431</v>
      </c>
      <c r="P48" s="33">
        <f t="shared" ref="P48:P80" si="21">($N$19*$Q$18+SQRT($N$19^2*$Q$18^2+4*$N$19*($Y$24-(D48*$Q$18))))/(2*$N$19)</f>
        <v>21.802958002963376</v>
      </c>
      <c r="S48" s="2"/>
      <c r="T48" s="2"/>
      <c r="U48" s="2"/>
      <c r="V48" s="2"/>
      <c r="W48" s="2"/>
      <c r="X48" s="2"/>
    </row>
    <row r="49" spans="1:24">
      <c r="A49" s="10" t="s">
        <v>63</v>
      </c>
      <c r="B49" s="5">
        <f>$Q$18</f>
        <v>1.3</v>
      </c>
      <c r="D49" s="44">
        <v>15.5</v>
      </c>
      <c r="E49" s="9">
        <f>(0.5+(0.00000036*$B$51*$B$52^3*($B$48*0.0254)*($B$47*0.0254)^4)*($B$53+$B$54)*$D49-(0.25-(0.00000036*$B$51*$B$52^3*($B$48*0.0254)*($B$47*0.0254)^4)*(($B$53+$B$54)^2*$B$49-($B$53+$B$54)*$D49))^(1/2))/((0.00000036*$B$51*$B$52^3*($B$48*0.0254)*($B$47*0.0254)^4)*($B$53+$B$54)^2)</f>
        <v>20.7690244549797</v>
      </c>
      <c r="F49" s="9">
        <f t="shared" si="17"/>
        <v>321.91987905218537</v>
      </c>
      <c r="G49" s="9">
        <f t="shared" ref="G49:G53" si="22">(D49-($B$53+$B$54)*E49)*(E49-$B$49)</f>
        <v>258.09979339001768</v>
      </c>
      <c r="H49" s="9">
        <f t="shared" si="18"/>
        <v>80.175164749045507</v>
      </c>
      <c r="I49" s="15">
        <f t="shared" ref="I49:I53" si="23">$B$52*(D49-(E49*($B$53+$B$54)))</f>
        <v>8219.3061224945595</v>
      </c>
      <c r="J49" s="2">
        <f t="shared" ref="J49:J53" si="24">(($B$47*0.0254)^4)*($B$48*0.0254)*(I49^3)*2*$B$51*0.00000018</f>
        <v>258.09979339001677</v>
      </c>
      <c r="K49" s="2">
        <f>$K$46*0.6*((0.6*3.1416*($B$47*0.0254)^2*J49^2)^(1/3))/9.81*1000</f>
        <v>1960.6387034670577</v>
      </c>
      <c r="L49">
        <f t="shared" si="19"/>
        <v>6.0904555171916703</v>
      </c>
      <c r="M49" s="2">
        <f t="shared" ref="M49:M53" si="25">1.30652287/($B$47*0.0254)*POWER(K49*0.00981,3/2)</f>
        <v>333.76424898222291</v>
      </c>
      <c r="N49">
        <f t="shared" si="20"/>
        <v>299.83401494338426</v>
      </c>
      <c r="O49">
        <f>0.65*60*O$45/E49</f>
        <v>2.816694646722981</v>
      </c>
      <c r="P49" s="34">
        <f t="shared" si="21"/>
        <v>21.944744675474528</v>
      </c>
      <c r="S49" s="2"/>
      <c r="T49" s="2"/>
      <c r="U49" s="2"/>
      <c r="V49" s="2"/>
      <c r="W49" s="2"/>
      <c r="X49" s="2"/>
    </row>
    <row r="50" spans="1:24">
      <c r="A50" s="4" t="s">
        <v>34</v>
      </c>
      <c r="B50" s="4">
        <v>5700</v>
      </c>
      <c r="D50" s="14">
        <v>14.8</v>
      </c>
      <c r="E50" s="9">
        <f t="shared" ref="E50:E80" si="26">(0.5+(0.00000036*$B$51*$B$52^3*($B$48*0.0254)*($B$47*0.0254)^4)*($B$53+$B$54)*$D50-(0.25-(0.00000036*$B$51*$B$52^3*($B$48*0.0254)*($B$47*0.0254)^4)*(($B$53+$B$54)^2*$B$49-($B$53+$B$54)*$D50))^(1/2))/((0.00000036*$B$51*$B$52^3*($B$48*0.0254)*($B$47*0.0254)^4)*($B$53+$B$54)^2)</f>
        <v>19.232118992410165</v>
      </c>
      <c r="F50" s="9">
        <f t="shared" si="17"/>
        <v>284.63536108767045</v>
      </c>
      <c r="G50" s="9">
        <f t="shared" si="22"/>
        <v>228.14911529287664</v>
      </c>
      <c r="H50" s="9">
        <f t="shared" si="18"/>
        <v>80.154874089099735</v>
      </c>
      <c r="I50" s="15">
        <f>$B$52*(D50-(E50*($B$53+$B$54)))</f>
        <v>7888.2173122682152</v>
      </c>
      <c r="J50" s="2">
        <f>(($B$47*0.0254)^4)*($B$48*0.0254)*(I50^3)*2*$B$51*0.00000018</f>
        <v>228.14911529287738</v>
      </c>
      <c r="K50" s="39">
        <f>$K$46*0.6*((0.6*3.1416*($B$47*0.0254)^2*J50^2)^(1/3))/9.81*1000</f>
        <v>1805.8638024209606</v>
      </c>
      <c r="L50">
        <f t="shared" si="19"/>
        <v>6.3444815694025349</v>
      </c>
      <c r="M50" s="2">
        <f t="shared" si="25"/>
        <v>295.03323935876961</v>
      </c>
      <c r="N50">
        <f t="shared" si="20"/>
        <v>265.04037196447621</v>
      </c>
      <c r="O50">
        <f t="shared" ref="O50:O80" si="27">0.65*60*O$45/E50</f>
        <v>3.0417865042893433</v>
      </c>
      <c r="P50" s="34">
        <f t="shared" si="21"/>
        <v>22.141674590863708</v>
      </c>
      <c r="S50" s="2"/>
      <c r="T50" s="2"/>
      <c r="U50" s="2"/>
      <c r="V50" s="2"/>
      <c r="W50" s="2"/>
      <c r="X50" s="2"/>
    </row>
    <row r="51" spans="1:24">
      <c r="A51" s="4" t="s">
        <v>110</v>
      </c>
      <c r="B51" s="4">
        <v>1.069</v>
      </c>
      <c r="D51" s="14">
        <v>14.5</v>
      </c>
      <c r="E51" s="9">
        <f t="shared" si="26"/>
        <v>18.588335346380443</v>
      </c>
      <c r="F51" s="9">
        <f t="shared" si="17"/>
        <v>269.53086252251643</v>
      </c>
      <c r="G51" s="9">
        <f t="shared" si="22"/>
        <v>215.97383402260263</v>
      </c>
      <c r="H51" s="9">
        <f t="shared" si="18"/>
        <v>80.129537671983783</v>
      </c>
      <c r="I51" s="15">
        <f t="shared" si="23"/>
        <v>7745.3250652063662</v>
      </c>
      <c r="J51" s="2">
        <f>(($B$47*0.0254)^4)*($B$48*0.0254)*(I51^3)*2*$B$51*0.00000018</f>
        <v>215.973834022604</v>
      </c>
      <c r="K51" s="40">
        <f t="shared" ref="K51:K53" si="28">$K$46*0.6*((0.6*3.1416*($B$47*0.0254)^2*J51^2)^(1/3))/9.81*1000</f>
        <v>1741.0312199778241</v>
      </c>
      <c r="L51">
        <f t="shared" si="19"/>
        <v>6.4594874356267065</v>
      </c>
      <c r="M51" s="2">
        <f t="shared" si="25"/>
        <v>279.28865639748278</v>
      </c>
      <c r="N51">
        <f t="shared" si="20"/>
        <v>250.89637200855734</v>
      </c>
      <c r="O51">
        <f t="shared" si="27"/>
        <v>3.1471349590963364</v>
      </c>
      <c r="P51" s="34">
        <f t="shared" si="21"/>
        <v>22.225522886611298</v>
      </c>
      <c r="S51" s="2"/>
      <c r="T51" s="2"/>
      <c r="U51" s="2"/>
      <c r="V51" s="2"/>
      <c r="W51" s="2"/>
      <c r="X51" s="2"/>
    </row>
    <row r="52" spans="1:24">
      <c r="A52" s="4" t="s">
        <v>157</v>
      </c>
      <c r="B52" s="4">
        <v>620</v>
      </c>
      <c r="D52" s="14">
        <v>14</v>
      </c>
      <c r="E52" s="9">
        <f t="shared" si="26"/>
        <v>17.535640281065294</v>
      </c>
      <c r="F52" s="9">
        <f t="shared" si="17"/>
        <v>245.49896393491412</v>
      </c>
      <c r="G52" s="9">
        <f t="shared" si="22"/>
        <v>196.55111038314834</v>
      </c>
      <c r="H52" s="9">
        <f t="shared" si="18"/>
        <v>80.061889970035608</v>
      </c>
      <c r="I52" s="15">
        <f t="shared" si="23"/>
        <v>7505.813526779868</v>
      </c>
      <c r="J52" s="2">
        <f t="shared" si="24"/>
        <v>196.55111038314885</v>
      </c>
      <c r="K52" s="40">
        <f t="shared" si="28"/>
        <v>1635.0189905115496</v>
      </c>
      <c r="L52">
        <f t="shared" si="19"/>
        <v>6.6599832614569427</v>
      </c>
      <c r="M52" s="2">
        <f t="shared" si="25"/>
        <v>254.17197310391614</v>
      </c>
      <c r="N52">
        <f t="shared" si="20"/>
        <v>228.33303271462171</v>
      </c>
      <c r="O52">
        <f t="shared" si="27"/>
        <v>3.3360629587713069</v>
      </c>
      <c r="P52" s="34">
        <f t="shared" si="21"/>
        <v>22.364550567515931</v>
      </c>
      <c r="S52" s="2"/>
      <c r="T52" s="2"/>
      <c r="U52" s="2"/>
      <c r="V52" s="2"/>
      <c r="W52" s="2"/>
      <c r="X52" s="2"/>
    </row>
    <row r="53" spans="1:24">
      <c r="A53" s="4" t="s">
        <v>158</v>
      </c>
      <c r="B53" s="4">
        <v>0.108</v>
      </c>
      <c r="D53" s="14">
        <v>13.5</v>
      </c>
      <c r="E53" s="9">
        <f t="shared" si="26"/>
        <v>16.508768436988813</v>
      </c>
      <c r="F53" s="9">
        <f t="shared" si="17"/>
        <v>222.86837389934897</v>
      </c>
      <c r="G53" s="9">
        <f t="shared" si="22"/>
        <v>178.20194597484146</v>
      </c>
      <c r="H53" s="9">
        <f t="shared" si="18"/>
        <v>79.958382096564492</v>
      </c>
      <c r="I53" s="15">
        <f t="shared" si="23"/>
        <v>7264.5728654592294</v>
      </c>
      <c r="J53" s="2">
        <f t="shared" si="24"/>
        <v>178.20194597484084</v>
      </c>
      <c r="K53" s="40">
        <f t="shared" si="28"/>
        <v>1531.6073025940191</v>
      </c>
      <c r="L53">
        <f t="shared" si="19"/>
        <v>6.8722505387225477</v>
      </c>
      <c r="M53" s="2">
        <f t="shared" si="25"/>
        <v>230.44357333361575</v>
      </c>
      <c r="N53">
        <f t="shared" si="20"/>
        <v>207.01684503722379</v>
      </c>
      <c r="O53">
        <f t="shared" si="27"/>
        <v>3.5435714192300076</v>
      </c>
      <c r="P53" s="34">
        <f t="shared" si="21"/>
        <v>22.502693766850005</v>
      </c>
      <c r="S53" s="2"/>
      <c r="T53" s="2"/>
      <c r="U53" s="2"/>
      <c r="V53" s="2"/>
      <c r="W53" s="2"/>
      <c r="X53" s="2"/>
    </row>
    <row r="54" spans="1:24">
      <c r="A54" s="4" t="s">
        <v>250</v>
      </c>
      <c r="B54" s="4">
        <v>0</v>
      </c>
      <c r="D54" s="14">
        <v>13.25</v>
      </c>
      <c r="E54" s="28">
        <f t="shared" si="26"/>
        <v>16.005192752588904</v>
      </c>
      <c r="F54" s="28">
        <f t="shared" ref="F54" si="29">D54*E54</f>
        <v>212.06880397180299</v>
      </c>
      <c r="G54" s="28">
        <f t="shared" ref="G54" si="30">(D54-($B$53+$B$54)*E54)*(E54-$B$49)</f>
        <v>169.42498396913382</v>
      </c>
      <c r="H54" s="28">
        <f t="shared" ref="H54" si="31">G54/F54*100</f>
        <v>79.89151671344402</v>
      </c>
      <c r="I54" s="29">
        <f t="shared" ref="I54" si="32">$B$52*(D54-(E54*($B$53+$B$54)))</f>
        <v>7143.2922932866468</v>
      </c>
      <c r="J54" s="27">
        <f t="shared" ref="J54" si="33">(($B$47*0.0254)^4)*($B$48*0.0254)*(I54^3)*2*$B$51*0.00000018</f>
        <v>169.42498396913373</v>
      </c>
      <c r="K54" s="41">
        <f t="shared" ref="K54" si="34">$K$46*0.6*((0.6*3.1416*($B$47*0.0254)^2*J54^2)^(1/3))/9.81*1000</f>
        <v>1480.8944392329195</v>
      </c>
      <c r="L54" s="27">
        <f t="shared" ref="L54" si="35">K54/F54</f>
        <v>6.9830847889811345</v>
      </c>
      <c r="M54" s="27">
        <f t="shared" ref="M54" si="36">1.30652287/($B$47*0.0254)*POWER(K54*0.00981,3/2)</f>
        <v>219.09355986129322</v>
      </c>
      <c r="N54" s="27">
        <f t="shared" ref="N54" si="37">POWER(I54/$B$50,3)*100</f>
        <v>196.8206657896099</v>
      </c>
      <c r="O54" s="27">
        <f t="shared" si="27"/>
        <v>3.6550637598873896</v>
      </c>
      <c r="P54" s="34">
        <f t="shared" si="21"/>
        <v>22.571438915522499</v>
      </c>
      <c r="S54" s="2"/>
      <c r="T54" s="2"/>
      <c r="U54" s="2"/>
      <c r="V54" s="2"/>
      <c r="W54" s="2"/>
      <c r="X54" s="2"/>
    </row>
    <row r="55" spans="1:24">
      <c r="C55" s="2"/>
      <c r="D55" s="14">
        <v>13</v>
      </c>
      <c r="E55" s="9">
        <f t="shared" si="26"/>
        <v>15.508287305337186</v>
      </c>
      <c r="F55" s="9">
        <f t="shared" ref="F55" si="38">D55*E55</f>
        <v>201.60773496938342</v>
      </c>
      <c r="G55" s="9">
        <f t="shared" ref="G55:G80" si="39">(D55-($B$53+$B$54)*E55)*(E55-$B$49)</f>
        <v>160.91034519140544</v>
      </c>
      <c r="H55" s="9">
        <f t="shared" ref="H55:H64" si="40">G55/F55*100</f>
        <v>79.813577200220834</v>
      </c>
      <c r="I55" s="15">
        <f t="shared" ref="I55:I80" si="41">$B$52*(D55-(E55*($B$53+$B$54)))</f>
        <v>7021.5650820346227</v>
      </c>
      <c r="J55" s="2">
        <f t="shared" ref="J55:J80" si="42">(($B$47*0.0254)^4)*($B$48*0.0254)*(I55^3)*2*$B$51*0.00000018</f>
        <v>160.91034519140541</v>
      </c>
      <c r="K55" s="40">
        <f t="shared" ref="K55:K80" si="43">$K$46*0.6*((0.6*3.1416*($B$47*0.0254)^2*J55^2)^(1/3))/9.81*1000</f>
        <v>1430.8533057340032</v>
      </c>
      <c r="L55">
        <f t="shared" ref="L55:L64" si="44">K55/F55</f>
        <v>7.0972143303494564</v>
      </c>
      <c r="M55" s="2">
        <f t="shared" ref="M55:M80" si="45">1.30652287/($B$47*0.0254)*POWER(K55*0.00981,3/2)</f>
        <v>208.08277221331952</v>
      </c>
      <c r="N55">
        <f t="shared" ref="N55:N80" si="46">POWER(I55/$B$50,3)*100</f>
        <v>186.92922691247341</v>
      </c>
      <c r="O55">
        <f t="shared" si="27"/>
        <v>3.7721766980591851</v>
      </c>
      <c r="P55" s="34">
        <f t="shared" si="21"/>
        <v>22.639969153826556</v>
      </c>
      <c r="Q55" s="2"/>
      <c r="R55" s="2"/>
      <c r="S55" s="2"/>
      <c r="T55" s="2"/>
      <c r="U55" s="2"/>
      <c r="V55" s="2"/>
      <c r="W55" s="2"/>
      <c r="X55" s="2"/>
    </row>
    <row r="56" spans="1:24">
      <c r="D56" s="14">
        <v>12.75</v>
      </c>
      <c r="E56" s="9">
        <f t="shared" si="26"/>
        <v>15.018126335852847</v>
      </c>
      <c r="F56" s="9">
        <f t="shared" ref="F56" si="47">D56*E56</f>
        <v>191.48111078212381</v>
      </c>
      <c r="G56" s="9">
        <f t="shared" si="39"/>
        <v>152.65589090659674</v>
      </c>
      <c r="H56" s="9">
        <f t="shared" si="40"/>
        <v>79.723733731780882</v>
      </c>
      <c r="I56" s="15">
        <f t="shared" si="41"/>
        <v>6899.3862605512932</v>
      </c>
      <c r="J56" s="2">
        <f t="shared" si="42"/>
        <v>152.65589090659586</v>
      </c>
      <c r="K56" s="40">
        <f t="shared" si="43"/>
        <v>1381.4913785392234</v>
      </c>
      <c r="L56">
        <f t="shared" si="44"/>
        <v>7.2147658476409671</v>
      </c>
      <c r="M56" s="2">
        <f t="shared" si="45"/>
        <v>197.4084446637255</v>
      </c>
      <c r="N56">
        <f t="shared" si="46"/>
        <v>177.34004384156293</v>
      </c>
      <c r="O56">
        <f t="shared" si="27"/>
        <v>3.895292840914693</v>
      </c>
      <c r="P56" s="34">
        <f t="shared" si="21"/>
        <v>22.708286484799824</v>
      </c>
    </row>
    <row r="57" spans="1:24">
      <c r="D57" s="14">
        <v>12.5</v>
      </c>
      <c r="E57" s="9">
        <f t="shared" si="26"/>
        <v>14.534785472239619</v>
      </c>
      <c r="F57" s="9">
        <f t="shared" ref="F57:F64" si="48">D57*E57</f>
        <v>181.68481840299523</v>
      </c>
      <c r="G57" s="9">
        <f t="shared" si="39"/>
        <v>144.65942350110265</v>
      </c>
      <c r="H57" s="9">
        <f t="shared" si="40"/>
        <v>79.621084894519626</v>
      </c>
      <c r="I57" s="15">
        <f t="shared" si="41"/>
        <v>6776.7507647788352</v>
      </c>
      <c r="J57" s="2">
        <f t="shared" si="42"/>
        <v>144.65942350110205</v>
      </c>
      <c r="K57" s="40">
        <f t="shared" si="43"/>
        <v>1332.8162738179462</v>
      </c>
      <c r="L57">
        <f t="shared" si="44"/>
        <v>7.3358703579823903</v>
      </c>
      <c r="M57" s="2">
        <f t="shared" si="45"/>
        <v>187.06773534718451</v>
      </c>
      <c r="N57">
        <f t="shared" si="46"/>
        <v>168.0505636135409</v>
      </c>
      <c r="O57">
        <f t="shared" si="27"/>
        <v>4.0248272058594008</v>
      </c>
      <c r="P57" s="34">
        <f t="shared" si="21"/>
        <v>22.776392880556966</v>
      </c>
      <c r="Q57" s="9" t="s">
        <v>0</v>
      </c>
      <c r="R57" s="2"/>
      <c r="S57" s="2"/>
      <c r="T57" s="2"/>
    </row>
    <row r="58" spans="1:24">
      <c r="D58" s="14">
        <v>12.25</v>
      </c>
      <c r="E58" s="9">
        <f t="shared" si="26"/>
        <v>14.058341766662787</v>
      </c>
      <c r="F58" s="9">
        <f t="shared" si="48"/>
        <v>172.21468664161915</v>
      </c>
      <c r="G58" s="9">
        <f t="shared" si="39"/>
        <v>136.91868471700269</v>
      </c>
      <c r="H58" s="9">
        <f t="shared" si="40"/>
        <v>79.504650495884903</v>
      </c>
      <c r="I58" s="15">
        <f t="shared" si="41"/>
        <v>6653.6534353042598</v>
      </c>
      <c r="J58" s="2">
        <f t="shared" si="42"/>
        <v>136.91868471700298</v>
      </c>
      <c r="K58" s="40">
        <f t="shared" si="43"/>
        <v>1284.8357511504062</v>
      </c>
      <c r="L58">
        <f t="shared" si="44"/>
        <v>7.4606630607769526</v>
      </c>
      <c r="M58" s="2">
        <f t="shared" si="45"/>
        <v>177.05772397558172</v>
      </c>
      <c r="N58">
        <f t="shared" si="46"/>
        <v>159.05816281468708</v>
      </c>
      <c r="O58">
        <f t="shared" si="27"/>
        <v>4.161230461669656</v>
      </c>
      <c r="P58" s="34">
        <f t="shared" si="21"/>
        <v>22.844290282953885</v>
      </c>
      <c r="Q58" s="9"/>
      <c r="R58" s="2"/>
      <c r="S58" s="2"/>
      <c r="T58" s="2"/>
    </row>
    <row r="59" spans="1:24">
      <c r="D59" s="14">
        <v>12</v>
      </c>
      <c r="E59" s="9">
        <f t="shared" si="26"/>
        <v>13.588873733174974</v>
      </c>
      <c r="F59" s="9">
        <f t="shared" si="48"/>
        <v>163.06648479809968</v>
      </c>
      <c r="G59" s="9">
        <f t="shared" si="39"/>
        <v>129.4313538219308</v>
      </c>
      <c r="H59" s="9">
        <f t="shared" si="40"/>
        <v>79.373363559155564</v>
      </c>
      <c r="I59" s="15">
        <f t="shared" si="41"/>
        <v>6530.0890148266035</v>
      </c>
      <c r="J59" s="2">
        <f t="shared" si="42"/>
        <v>129.4313538219312</v>
      </c>
      <c r="K59" s="40">
        <f t="shared" si="43"/>
        <v>1237.5577173369904</v>
      </c>
      <c r="L59">
        <f t="shared" si="44"/>
        <v>7.5892831005051047</v>
      </c>
      <c r="M59" s="2">
        <f t="shared" si="45"/>
        <v>167.37540947136688</v>
      </c>
      <c r="N59">
        <f t="shared" si="46"/>
        <v>150.3601454548411</v>
      </c>
      <c r="O59">
        <f t="shared" si="27"/>
        <v>4.3049925364441339</v>
      </c>
      <c r="P59" s="34">
        <f t="shared" si="21"/>
        <v>22.911980604233765</v>
      </c>
      <c r="Q59" s="5" t="s">
        <v>1</v>
      </c>
      <c r="R59" s="5" t="s">
        <v>2</v>
      </c>
      <c r="S59" s="5" t="s">
        <v>107</v>
      </c>
      <c r="T59" s="5" t="s">
        <v>108</v>
      </c>
    </row>
    <row r="60" spans="1:24">
      <c r="D60" s="14">
        <v>11.75</v>
      </c>
      <c r="E60" s="9">
        <f t="shared" si="26"/>
        <v>13.126461386843408</v>
      </c>
      <c r="F60" s="9">
        <f t="shared" si="48"/>
        <v>154.23592129541004</v>
      </c>
      <c r="G60" s="9">
        <f t="shared" si="39"/>
        <v>122.19504571177143</v>
      </c>
      <c r="H60" s="9">
        <f t="shared" si="40"/>
        <v>79.226061403510343</v>
      </c>
      <c r="I60" s="15">
        <f t="shared" si="41"/>
        <v>6406.0521455369653</v>
      </c>
      <c r="J60" s="2">
        <f t="shared" si="42"/>
        <v>122.19504571177258</v>
      </c>
      <c r="K60" s="40">
        <f t="shared" si="43"/>
        <v>1190.9902303386039</v>
      </c>
      <c r="L60">
        <f t="shared" si="44"/>
        <v>7.7218732208140084</v>
      </c>
      <c r="M60" s="2">
        <f t="shared" si="45"/>
        <v>158.01770751404138</v>
      </c>
      <c r="N60">
        <f t="shared" si="46"/>
        <v>141.95374076331325</v>
      </c>
      <c r="O60">
        <f t="shared" si="27"/>
        <v>4.4566466373515015</v>
      </c>
      <c r="P60" s="34">
        <f t="shared" si="21"/>
        <v>22.979465727655459</v>
      </c>
      <c r="Q60" s="5">
        <v>400</v>
      </c>
      <c r="R60" s="5">
        <v>2.8</v>
      </c>
      <c r="S60" s="5">
        <v>43.5</v>
      </c>
      <c r="T60" s="2">
        <f>S60/R60</f>
        <v>15.535714285714286</v>
      </c>
    </row>
    <row r="61" spans="1:24">
      <c r="D61" s="14">
        <v>11.5</v>
      </c>
      <c r="E61" s="9">
        <f t="shared" si="26"/>
        <v>12.671186284234826</v>
      </c>
      <c r="F61" s="9">
        <f t="shared" si="48"/>
        <v>145.71864226870051</v>
      </c>
      <c r="G61" s="9">
        <f t="shared" si="39"/>
        <v>115.20730894323074</v>
      </c>
      <c r="H61" s="9">
        <f t="shared" si="40"/>
        <v>79.061475696975108</v>
      </c>
      <c r="I61" s="15">
        <f t="shared" si="41"/>
        <v>6281.5373664076369</v>
      </c>
      <c r="J61" s="2">
        <f t="shared" si="42"/>
        <v>115.20730894323074</v>
      </c>
      <c r="K61" s="40">
        <f t="shared" si="43"/>
        <v>1145.1415033536607</v>
      </c>
      <c r="L61">
        <f t="shared" si="44"/>
        <v>7.8585792835075727</v>
      </c>
      <c r="M61" s="2">
        <f t="shared" si="45"/>
        <v>148.9814479959505</v>
      </c>
      <c r="N61">
        <f t="shared" si="46"/>
        <v>133.8361009033176</v>
      </c>
      <c r="O61">
        <f t="shared" si="27"/>
        <v>4.6167737327628302</v>
      </c>
      <c r="P61" s="34">
        <f t="shared" si="21"/>
        <v>23.046747508104808</v>
      </c>
      <c r="Q61" s="5">
        <v>550</v>
      </c>
      <c r="R61" s="5">
        <v>4.0999999999999996</v>
      </c>
      <c r="S61" s="5">
        <v>64</v>
      </c>
      <c r="T61" s="2">
        <f t="shared" ref="T61:T65" si="49">S61/R61</f>
        <v>15.609756097560977</v>
      </c>
    </row>
    <row r="62" spans="1:24">
      <c r="D62" s="14">
        <v>11.25</v>
      </c>
      <c r="E62" s="9">
        <f t="shared" si="26"/>
        <v>12.223131565313903</v>
      </c>
      <c r="F62" s="9">
        <f t="shared" si="48"/>
        <v>137.51023010978142</v>
      </c>
      <c r="G62" s="9">
        <f t="shared" si="39"/>
        <v>108.46562369315038</v>
      </c>
      <c r="H62" s="9">
        <f t="shared" si="40"/>
        <v>78.878221356008751</v>
      </c>
      <c r="I62" s="15">
        <f t="shared" si="41"/>
        <v>6156.5391103865813</v>
      </c>
      <c r="J62" s="2">
        <f t="shared" si="42"/>
        <v>108.46562369315063</v>
      </c>
      <c r="K62" s="40">
        <f t="shared" si="43"/>
        <v>1100.0199090375841</v>
      </c>
      <c r="L62">
        <f t="shared" si="44"/>
        <v>7.9995496201219511</v>
      </c>
      <c r="M62" s="2">
        <f t="shared" si="45"/>
        <v>140.26337238336245</v>
      </c>
      <c r="N62">
        <f t="shared" si="46"/>
        <v>126.00429860132363</v>
      </c>
      <c r="O62">
        <f t="shared" si="27"/>
        <v>4.7860075535804523</v>
      </c>
      <c r="P62" s="34">
        <f t="shared" si="21"/>
        <v>23.113827772689547</v>
      </c>
      <c r="Q62" s="5">
        <v>850</v>
      </c>
      <c r="R62" s="5">
        <v>6.9</v>
      </c>
      <c r="S62" s="5">
        <v>105</v>
      </c>
      <c r="T62" s="2">
        <f t="shared" si="49"/>
        <v>15.217391304347826</v>
      </c>
    </row>
    <row r="63" spans="1:24">
      <c r="D63" s="14">
        <v>11</v>
      </c>
      <c r="E63" s="9">
        <f t="shared" si="26"/>
        <v>11.782381996819019</v>
      </c>
      <c r="F63" s="9">
        <f t="shared" si="48"/>
        <v>129.60620196500921</v>
      </c>
      <c r="G63" s="9">
        <f t="shared" si="39"/>
        <v>101.96739964131439</v>
      </c>
      <c r="H63" s="9">
        <f t="shared" si="40"/>
        <v>78.674784150254879</v>
      </c>
      <c r="I63" s="15">
        <f t="shared" si="41"/>
        <v>6031.0517014929983</v>
      </c>
      <c r="J63" s="2">
        <f t="shared" si="42"/>
        <v>101.96739964131505</v>
      </c>
      <c r="K63" s="40">
        <f t="shared" si="43"/>
        <v>1055.6339838708832</v>
      </c>
      <c r="L63">
        <f t="shared" si="44"/>
        <v>8.1449341764978254</v>
      </c>
      <c r="M63" s="2">
        <f t="shared" si="45"/>
        <v>131.8601309785864</v>
      </c>
      <c r="N63">
        <f t="shared" si="46"/>
        <v>118.45532468750386</v>
      </c>
      <c r="O63">
        <f t="shared" si="27"/>
        <v>4.9650401774270856</v>
      </c>
      <c r="P63" s="34">
        <f t="shared" si="21"/>
        <v>23.180708321318207</v>
      </c>
      <c r="Q63" s="5">
        <v>1000</v>
      </c>
      <c r="R63" s="5">
        <v>8.6</v>
      </c>
      <c r="S63" s="5">
        <v>132</v>
      </c>
      <c r="T63" s="2">
        <f t="shared" si="49"/>
        <v>15.348837209302326</v>
      </c>
    </row>
    <row r="64" spans="1:24">
      <c r="D64" s="14">
        <v>10.75</v>
      </c>
      <c r="E64" s="9">
        <f t="shared" si="26"/>
        <v>11.34902401717655</v>
      </c>
      <c r="F64" s="9">
        <f t="shared" si="48"/>
        <v>122.00200818464791</v>
      </c>
      <c r="G64" s="9">
        <f t="shared" si="39"/>
        <v>95.709973773274882</v>
      </c>
      <c r="H64" s="9">
        <f t="shared" si="40"/>
        <v>78.449506854362198</v>
      </c>
      <c r="I64" s="15">
        <f t="shared" si="41"/>
        <v>5905.0693518098587</v>
      </c>
      <c r="J64" s="2">
        <f t="shared" si="42"/>
        <v>95.709973773274953</v>
      </c>
      <c r="K64" s="40">
        <f t="shared" si="43"/>
        <v>1011.9924326823173</v>
      </c>
      <c r="L64">
        <f t="shared" si="44"/>
        <v>8.2948834018427338</v>
      </c>
      <c r="M64" s="2">
        <f t="shared" si="45"/>
        <v>123.7682800786812</v>
      </c>
      <c r="N64">
        <f t="shared" si="46"/>
        <v>111.18608554328672</v>
      </c>
      <c r="O64">
        <f t="shared" si="27"/>
        <v>5.1546282668413843</v>
      </c>
      <c r="P64" s="34">
        <f t="shared" si="21"/>
        <v>23.247390927263631</v>
      </c>
      <c r="Q64" s="27">
        <v>1480</v>
      </c>
      <c r="R64" s="27">
        <v>16</v>
      </c>
      <c r="S64" s="27">
        <v>212</v>
      </c>
      <c r="T64" s="27">
        <f t="shared" si="49"/>
        <v>13.25</v>
      </c>
    </row>
    <row r="65" spans="4:20">
      <c r="D65" s="14">
        <v>10.5</v>
      </c>
      <c r="E65" s="9">
        <f t="shared" si="26"/>
        <v>10.923145783022413</v>
      </c>
      <c r="F65" s="9">
        <f t="shared" ref="F65:F74" si="50">D65*E65</f>
        <v>114.69303072173534</v>
      </c>
      <c r="G65" s="9">
        <f t="shared" si="39"/>
        <v>89.69060809957837</v>
      </c>
      <c r="H65" s="9">
        <f t="shared" ref="H65:H74" si="51">G65/F65*100</f>
        <v>78.200573770853552</v>
      </c>
      <c r="I65" s="15">
        <f t="shared" si="41"/>
        <v>5778.5861583688193</v>
      </c>
      <c r="J65" s="2">
        <f t="shared" si="42"/>
        <v>89.690608099577716</v>
      </c>
      <c r="K65" s="40">
        <f t="shared" si="43"/>
        <v>969.10413333389306</v>
      </c>
      <c r="L65">
        <f t="shared" ref="L65:L74" si="52">K65/F65</f>
        <v>8.4495468228152699</v>
      </c>
      <c r="M65" s="2">
        <f t="shared" si="45"/>
        <v>115.98427902605337</v>
      </c>
      <c r="N65">
        <f t="shared" si="46"/>
        <v>104.1934004517889</v>
      </c>
      <c r="O65">
        <f t="shared" si="27"/>
        <v>5.355600040688385</v>
      </c>
      <c r="P65" s="34">
        <f t="shared" si="21"/>
        <v>23.31387733771157</v>
      </c>
      <c r="Q65" s="5">
        <v>1800</v>
      </c>
      <c r="R65" s="5">
        <v>19.5</v>
      </c>
      <c r="S65" s="5">
        <v>290</v>
      </c>
      <c r="T65" s="2">
        <f t="shared" si="49"/>
        <v>14.871794871794872</v>
      </c>
    </row>
    <row r="66" spans="4:20">
      <c r="D66" s="14">
        <v>10.25</v>
      </c>
      <c r="E66" s="9">
        <f t="shared" si="26"/>
        <v>10.504837217401862</v>
      </c>
      <c r="F66" s="9">
        <f t="shared" si="50"/>
        <v>107.67458147836909</v>
      </c>
      <c r="G66" s="9">
        <f t="shared" si="39"/>
        <v>83.906487287568282</v>
      </c>
      <c r="H66" s="9">
        <f t="shared" si="51"/>
        <v>77.925993429028921</v>
      </c>
      <c r="I66" s="15">
        <f t="shared" si="41"/>
        <v>5651.5960999227709</v>
      </c>
      <c r="J66" s="2">
        <f t="shared" si="42"/>
        <v>83.906487287568282</v>
      </c>
      <c r="K66" s="40">
        <f t="shared" si="43"/>
        <v>926.97814157483867</v>
      </c>
      <c r="L66">
        <f t="shared" si="52"/>
        <v>8.6090712296946403</v>
      </c>
      <c r="M66" s="2">
        <f t="shared" si="45"/>
        <v>108.50448714599744</v>
      </c>
      <c r="N66">
        <f t="shared" si="46"/>
        <v>97.473998846683031</v>
      </c>
      <c r="O66">
        <f t="shared" si="27"/>
        <v>5.5688630665396142</v>
      </c>
      <c r="P66" s="34">
        <f t="shared" si="21"/>
        <v>23.380169274294797</v>
      </c>
    </row>
    <row r="67" spans="4:20">
      <c r="D67" s="14">
        <v>10</v>
      </c>
      <c r="E67" s="9">
        <f t="shared" si="26"/>
        <v>10.094190059721903</v>
      </c>
      <c r="F67" s="9">
        <f t="shared" si="50"/>
        <v>100.94190059721903</v>
      </c>
      <c r="G67" s="9">
        <f t="shared" si="39"/>
        <v>78.354716201730824</v>
      </c>
      <c r="H67" s="9">
        <f t="shared" si="51"/>
        <v>77.623579245237153</v>
      </c>
      <c r="I67" s="15">
        <f t="shared" si="41"/>
        <v>5524.0930336010215</v>
      </c>
      <c r="J67" s="2">
        <f t="shared" si="42"/>
        <v>78.35471620173179</v>
      </c>
      <c r="K67" s="40">
        <f t="shared" si="43"/>
        <v>885.62369607205324</v>
      </c>
      <c r="L67">
        <f t="shared" si="52"/>
        <v>8.7735983851333614</v>
      </c>
      <c r="M67" s="2">
        <f t="shared" si="45"/>
        <v>101.32516056596648</v>
      </c>
      <c r="N67">
        <f t="shared" si="46"/>
        <v>91.024517454818707</v>
      </c>
      <c r="O67">
        <f t="shared" si="27"/>
        <v>5.7954129706184361</v>
      </c>
      <c r="P67" s="34">
        <f t="shared" si="21"/>
        <v>23.446268433613309</v>
      </c>
    </row>
    <row r="68" spans="4:20">
      <c r="D68" s="14">
        <v>9.75</v>
      </c>
      <c r="E68" s="9">
        <f t="shared" si="26"/>
        <v>9.6912979175343903</v>
      </c>
      <c r="F68" s="9">
        <f t="shared" si="50"/>
        <v>94.4901546959603</v>
      </c>
      <c r="G68" s="9">
        <f t="shared" si="39"/>
        <v>73.032317348330224</v>
      </c>
      <c r="H68" s="9">
        <f t="shared" si="51"/>
        <v>77.290927910241365</v>
      </c>
      <c r="I68" s="15">
        <f t="shared" si="41"/>
        <v>5396.070691441897</v>
      </c>
      <c r="J68" s="2">
        <f t="shared" si="42"/>
        <v>73.032317348329627</v>
      </c>
      <c r="K68" s="42">
        <f t="shared" si="43"/>
        <v>845.05022362495788</v>
      </c>
      <c r="L68">
        <f t="shared" si="52"/>
        <v>8.9432621456072816</v>
      </c>
      <c r="M68" s="2">
        <f t="shared" si="45"/>
        <v>94.442448911078628</v>
      </c>
      <c r="N68">
        <f t="shared" si="46"/>
        <v>84.841497327661287</v>
      </c>
      <c r="O68">
        <f t="shared" si="27"/>
        <v>6.0363431707280819</v>
      </c>
      <c r="P68" s="34">
        <f t="shared" si="21"/>
        <v>23.512176487740923</v>
      </c>
    </row>
    <row r="69" spans="4:20">
      <c r="D69" s="14">
        <v>9.5</v>
      </c>
      <c r="E69" s="9">
        <f t="shared" si="26"/>
        <v>9.2962563202319846</v>
      </c>
      <c r="F69" s="9">
        <f t="shared" si="50"/>
        <v>88.314435042203854</v>
      </c>
      <c r="G69" s="9">
        <f t="shared" si="39"/>
        <v>67.936228219847479</v>
      </c>
      <c r="H69" s="9">
        <f t="shared" si="51"/>
        <v>76.925395250937186</v>
      </c>
      <c r="I69" s="15">
        <f t="shared" si="41"/>
        <v>5267.5226767972663</v>
      </c>
      <c r="J69" s="2">
        <f t="shared" si="42"/>
        <v>67.93622821984755</v>
      </c>
      <c r="K69" s="40">
        <f t="shared" si="43"/>
        <v>805.26734457308601</v>
      </c>
      <c r="L69">
        <f t="shared" si="52"/>
        <v>9.1181848605866467</v>
      </c>
      <c r="M69" s="2">
        <f t="shared" si="45"/>
        <v>87.852391870064025</v>
      </c>
      <c r="N69">
        <f t="shared" si="46"/>
        <v>78.921380756342842</v>
      </c>
      <c r="O69">
        <f t="shared" si="27"/>
        <v>6.2928557458859045</v>
      </c>
      <c r="P69" s="34">
        <f t="shared" si="21"/>
        <v>23.577895084718815</v>
      </c>
    </row>
    <row r="70" spans="4:20">
      <c r="D70" s="14">
        <v>9.25</v>
      </c>
      <c r="E70" s="9">
        <f t="shared" si="26"/>
        <v>8.9091627747473208</v>
      </c>
      <c r="F70" s="9">
        <f t="shared" si="50"/>
        <v>82.409755666412721</v>
      </c>
      <c r="G70" s="9">
        <f t="shared" si="39"/>
        <v>63.063298534517358</v>
      </c>
      <c r="H70" s="9">
        <f t="shared" si="51"/>
        <v>76.524069298047564</v>
      </c>
      <c r="I70" s="15">
        <f t="shared" si="41"/>
        <v>5138.4424606029197</v>
      </c>
      <c r="J70" s="2">
        <f t="shared" si="42"/>
        <v>63.063298534517259</v>
      </c>
      <c r="K70" s="40">
        <f t="shared" si="43"/>
        <v>766.28487840511923</v>
      </c>
      <c r="L70">
        <f t="shared" si="52"/>
        <v>9.2984728835621286</v>
      </c>
      <c r="M70" s="2">
        <f t="shared" si="45"/>
        <v>81.550915625525718</v>
      </c>
      <c r="N70">
        <f t="shared" si="46"/>
        <v>73.260508064819405</v>
      </c>
      <c r="O70">
        <f t="shared" si="27"/>
        <v>6.5662735634167557</v>
      </c>
      <c r="P70" s="34">
        <f t="shared" si="21"/>
        <v>23.643425849036337</v>
      </c>
    </row>
    <row r="71" spans="4:20">
      <c r="D71" s="14">
        <v>9</v>
      </c>
      <c r="E71" s="9">
        <f t="shared" si="26"/>
        <v>8.5301168233423166</v>
      </c>
      <c r="F71" s="9">
        <f t="shared" si="50"/>
        <v>76.771051410080844</v>
      </c>
      <c r="G71" s="9">
        <f t="shared" si="39"/>
        <v>58.410287365932412</v>
      </c>
      <c r="H71" s="9">
        <f t="shared" si="51"/>
        <v>76.08374028112182</v>
      </c>
      <c r="I71" s="15">
        <f t="shared" si="41"/>
        <v>5008.8233775089984</v>
      </c>
      <c r="J71" s="2">
        <f t="shared" si="42"/>
        <v>58.410287365932248</v>
      </c>
      <c r="K71" s="40">
        <f t="shared" si="43"/>
        <v>728.11284957872988</v>
      </c>
      <c r="L71">
        <f t="shared" si="52"/>
        <v>9.4842109910601149</v>
      </c>
      <c r="M71" s="2">
        <f t="shared" si="45"/>
        <v>75.533829142074239</v>
      </c>
      <c r="N71">
        <f t="shared" si="46"/>
        <v>67.855114275351866</v>
      </c>
      <c r="O71">
        <f t="shared" si="27"/>
        <v>6.8580537888903397</v>
      </c>
      <c r="P71" s="34">
        <f t="shared" si="21"/>
        <v>23.708770382099555</v>
      </c>
    </row>
    <row r="72" spans="4:20">
      <c r="D72" s="14">
        <v>8.75</v>
      </c>
      <c r="E72" s="9">
        <f t="shared" si="26"/>
        <v>8.1592201035888312</v>
      </c>
      <c r="F72" s="9">
        <f t="shared" si="50"/>
        <v>71.393175906402277</v>
      </c>
      <c r="G72" s="9">
        <f t="shared" si="39"/>
        <v>53.973860157474867</v>
      </c>
      <c r="H72" s="9">
        <f t="shared" si="51"/>
        <v>75.60086727089373</v>
      </c>
      <c r="I72" s="15">
        <f t="shared" si="41"/>
        <v>4878.6586218636921</v>
      </c>
      <c r="J72" s="2">
        <f t="shared" si="42"/>
        <v>53.973860157474348</v>
      </c>
      <c r="K72" s="40">
        <f t="shared" si="43"/>
        <v>690.76149356090195</v>
      </c>
      <c r="L72">
        <f t="shared" si="52"/>
        <v>9.6754554590273809</v>
      </c>
      <c r="M72" s="2">
        <f t="shared" si="45"/>
        <v>69.796820305504937</v>
      </c>
      <c r="N72">
        <f t="shared" si="46"/>
        <v>62.701325640170992</v>
      </c>
      <c r="O72">
        <f t="shared" si="27"/>
        <v>7.1698029048473382</v>
      </c>
      <c r="P72" s="34">
        <f t="shared" si="21"/>
        <v>23.773930262687848</v>
      </c>
    </row>
    <row r="73" spans="4:20">
      <c r="D73" s="14">
        <v>8.5</v>
      </c>
      <c r="E73" s="9">
        <f t="shared" si="26"/>
        <v>7.7965764106403626</v>
      </c>
      <c r="F73" s="9">
        <f t="shared" si="50"/>
        <v>66.270899490443085</v>
      </c>
      <c r="G73" s="9">
        <f t="shared" si="39"/>
        <v>49.750585615985983</v>
      </c>
      <c r="H73" s="9">
        <f t="shared" si="51"/>
        <v>75.071541202123726</v>
      </c>
      <c r="I73" s="15">
        <f t="shared" si="41"/>
        <v>4747.9412435435206</v>
      </c>
      <c r="J73" s="2">
        <f t="shared" si="42"/>
        <v>49.750585615986047</v>
      </c>
      <c r="K73" s="40">
        <f t="shared" si="43"/>
        <v>654.24126309907285</v>
      </c>
      <c r="L73">
        <f t="shared" si="52"/>
        <v>9.8722254885558165</v>
      </c>
      <c r="M73" s="2">
        <f t="shared" si="45"/>
        <v>64.335451905819482</v>
      </c>
      <c r="N73">
        <f t="shared" si="46"/>
        <v>57.795156032862828</v>
      </c>
      <c r="O73">
        <f t="shared" si="27"/>
        <v>7.5032933583723027</v>
      </c>
      <c r="P73" s="34">
        <f t="shared" si="21"/>
        <v>23.838907047398983</v>
      </c>
    </row>
    <row r="74" spans="4:20">
      <c r="D74" s="14">
        <v>8.25</v>
      </c>
      <c r="E74" s="9">
        <f t="shared" si="26"/>
        <v>7.4422917619044977</v>
      </c>
      <c r="F74" s="9">
        <f t="shared" si="50"/>
        <v>61.398907035712107</v>
      </c>
      <c r="G74" s="9">
        <f t="shared" si="39"/>
        <v>45.736932478797854</v>
      </c>
      <c r="H74" s="9">
        <f t="shared" si="51"/>
        <v>74.491444045079476</v>
      </c>
      <c r="I74" s="15">
        <f t="shared" si="41"/>
        <v>4616.6641436228747</v>
      </c>
      <c r="J74" s="2">
        <f t="shared" si="42"/>
        <v>45.736932478797698</v>
      </c>
      <c r="K74" s="40">
        <f t="shared" si="43"/>
        <v>618.56283473394944</v>
      </c>
      <c r="L74">
        <f t="shared" si="52"/>
        <v>10.074492602517633</v>
      </c>
      <c r="M74" s="2">
        <f t="shared" si="45"/>
        <v>59.14515745647634</v>
      </c>
      <c r="N74">
        <f t="shared" si="46"/>
        <v>53.132503192630679</v>
      </c>
      <c r="O74">
        <f t="shared" si="27"/>
        <v>7.8604819417923126</v>
      </c>
      <c r="P74" s="34">
        <f t="shared" si="21"/>
        <v>23.903702271082974</v>
      </c>
    </row>
    <row r="75" spans="4:20">
      <c r="D75" s="14">
        <v>8</v>
      </c>
      <c r="E75" s="9">
        <f t="shared" si="26"/>
        <v>7.0964744642280655</v>
      </c>
      <c r="F75" s="9">
        <f t="shared" ref="F75:F78" si="53">D75*E75</f>
        <v>56.771795713824524</v>
      </c>
      <c r="G75" s="9">
        <f t="shared" si="39"/>
        <v>41.929266147886516</v>
      </c>
      <c r="H75" s="9">
        <f t="shared" ref="H75:H78" si="54">G75/F75*100</f>
        <v>73.855803961607478</v>
      </c>
      <c r="I75" s="15">
        <f t="shared" si="41"/>
        <v>4484.8200698752889</v>
      </c>
      <c r="J75" s="2">
        <f t="shared" si="42"/>
        <v>41.929266147886459</v>
      </c>
      <c r="K75" s="40">
        <f t="shared" si="43"/>
        <v>583.73711556550074</v>
      </c>
      <c r="L75">
        <f t="shared" ref="L75:L78" si="55">K75/F75</f>
        <v>10.282167548618771</v>
      </c>
      <c r="M75" s="2">
        <f t="shared" si="45"/>
        <v>54.221236841820627</v>
      </c>
      <c r="N75">
        <f t="shared" si="46"/>
        <v>48.709144814204244</v>
      </c>
      <c r="O75">
        <f t="shared" si="27"/>
        <v>8.2435299802580868</v>
      </c>
      <c r="P75" s="34">
        <f t="shared" si="21"/>
        <v>23.968317447265115</v>
      </c>
    </row>
    <row r="76" spans="4:20">
      <c r="D76" s="14">
        <v>7.75</v>
      </c>
      <c r="E76" s="9">
        <f t="shared" si="26"/>
        <v>6.7592351837178777</v>
      </c>
      <c r="F76" s="9">
        <f t="shared" si="53"/>
        <v>52.384072673813549</v>
      </c>
      <c r="G76" s="9">
        <f t="shared" si="39"/>
        <v>38.323845184576101</v>
      </c>
      <c r="H76" s="9">
        <f t="shared" si="54"/>
        <v>73.159346397543345</v>
      </c>
      <c r="I76" s="15">
        <f t="shared" si="41"/>
        <v>4352.4016120982515</v>
      </c>
      <c r="J76" s="2">
        <f t="shared" si="42"/>
        <v>38.323845184575667</v>
      </c>
      <c r="K76" s="43">
        <f t="shared" si="43"/>
        <v>549.77525028423099</v>
      </c>
      <c r="L76">
        <f t="shared" si="55"/>
        <v>10.495084139554884</v>
      </c>
      <c r="M76" s="2">
        <f t="shared" si="45"/>
        <v>49.558851784170514</v>
      </c>
      <c r="N76">
        <f t="shared" si="46"/>
        <v>44.520734475738891</v>
      </c>
      <c r="O76">
        <f t="shared" si="27"/>
        <v>8.6548253478320927</v>
      </c>
      <c r="P76" s="34">
        <f t="shared" si="21"/>
        <v>24.032754068558475</v>
      </c>
    </row>
    <row r="77" spans="4:20">
      <c r="D77" s="14">
        <v>7.5</v>
      </c>
      <c r="E77" s="9">
        <f t="shared" si="26"/>
        <v>6.4306870183222227</v>
      </c>
      <c r="F77" s="9">
        <f t="shared" si="53"/>
        <v>48.230152637416673</v>
      </c>
      <c r="G77" s="9">
        <f t="shared" si="39"/>
        <v>34.916817657806369</v>
      </c>
      <c r="H77" s="9">
        <f t="shared" si="54"/>
        <v>72.396241248297656</v>
      </c>
      <c r="I77" s="15">
        <f t="shared" si="41"/>
        <v>4219.4011972531434</v>
      </c>
      <c r="J77" s="2">
        <f t="shared" si="42"/>
        <v>34.91681765780617</v>
      </c>
      <c r="K77" s="2">
        <f t="shared" si="43"/>
        <v>516.68862848058995</v>
      </c>
      <c r="L77">
        <f t="shared" si="55"/>
        <v>10.712979334005796</v>
      </c>
      <c r="M77" s="2">
        <f t="shared" si="45"/>
        <v>45.153021121549145</v>
      </c>
      <c r="N77">
        <f t="shared" si="46"/>
        <v>40.562797396609689</v>
      </c>
      <c r="O77">
        <f t="shared" si="27"/>
        <v>9.0970062503932514</v>
      </c>
      <c r="P77" s="34">
        <f t="shared" si="21"/>
        <v>24.097013607066192</v>
      </c>
    </row>
    <row r="78" spans="4:20">
      <c r="D78" s="14">
        <v>7.25</v>
      </c>
      <c r="E78" s="9">
        <f t="shared" si="26"/>
        <v>6.1109455733096718</v>
      </c>
      <c r="F78" s="9">
        <f t="shared" si="53"/>
        <v>44.304355406495119</v>
      </c>
      <c r="G78" s="9">
        <f t="shared" si="39"/>
        <v>31.704217338592869</v>
      </c>
      <c r="H78" s="9">
        <f t="shared" si="54"/>
        <v>71.560046518462514</v>
      </c>
      <c r="I78" s="15">
        <f t="shared" si="41"/>
        <v>4085.8110844111843</v>
      </c>
      <c r="J78" s="2">
        <f t="shared" si="42"/>
        <v>31.704217338592887</v>
      </c>
      <c r="K78" s="2">
        <f t="shared" si="43"/>
        <v>484.48889224605642</v>
      </c>
      <c r="L78">
        <f t="shared" si="55"/>
        <v>10.93546870958491</v>
      </c>
      <c r="M78" s="2">
        <f t="shared" si="45"/>
        <v>40.998615886508993</v>
      </c>
      <c r="N78">
        <f t="shared" si="46"/>
        <v>36.830726016519357</v>
      </c>
      <c r="O78">
        <f t="shared" si="27"/>
        <v>9.5729865858249745</v>
      </c>
      <c r="P78" s="34">
        <f t="shared" si="21"/>
        <v>24.161097514773878</v>
      </c>
    </row>
    <row r="79" spans="4:20">
      <c r="D79" s="14">
        <v>7</v>
      </c>
      <c r="E79" s="9">
        <f t="shared" si="26"/>
        <v>5.800129039786083</v>
      </c>
      <c r="F79" s="9">
        <f t="shared" ref="F79:F80" si="56">D79*E79</f>
        <v>40.600903278502578</v>
      </c>
      <c r="G79" s="9">
        <f t="shared" si="39"/>
        <v>28.681959732846206</v>
      </c>
      <c r="H79" s="9">
        <f t="shared" ref="H79:H80" si="57">G79/F79*100</f>
        <v>70.643649320070097</v>
      </c>
      <c r="I79" s="15">
        <f t="shared" si="41"/>
        <v>3951.6233594959235</v>
      </c>
      <c r="J79" s="2">
        <f t="shared" si="42"/>
        <v>28.681959732846792</v>
      </c>
      <c r="K79" s="2">
        <f t="shared" si="43"/>
        <v>453.18794408027532</v>
      </c>
      <c r="L79">
        <f t="shared" ref="L79:L80" si="58">K79/F79</f>
        <v>11.162016297313018</v>
      </c>
      <c r="M79" s="2">
        <f t="shared" si="45"/>
        <v>37.090354175937321</v>
      </c>
      <c r="N79">
        <f t="shared" si="46"/>
        <v>33.319775386835197</v>
      </c>
      <c r="O79">
        <f t="shared" si="27"/>
        <v>10.085982501202691</v>
      </c>
      <c r="P79" s="34">
        <f t="shared" si="21"/>
        <v>24.225007223932419</v>
      </c>
    </row>
    <row r="80" spans="4:20">
      <c r="D80" s="16">
        <v>6.75</v>
      </c>
      <c r="E80" s="17">
        <f t="shared" si="26"/>
        <v>5.4983582764022465</v>
      </c>
      <c r="F80" s="17">
        <f t="shared" si="56"/>
        <v>37.113918365715165</v>
      </c>
      <c r="G80" s="17">
        <f t="shared" si="39"/>
        <v>25.845837944268485</v>
      </c>
      <c r="H80" s="17">
        <f t="shared" si="57"/>
        <v>69.639205673697262</v>
      </c>
      <c r="I80" s="18">
        <f t="shared" si="41"/>
        <v>3816.8299298121055</v>
      </c>
      <c r="J80" s="2">
        <f t="shared" si="42"/>
        <v>25.845837944268261</v>
      </c>
      <c r="K80" s="2">
        <f t="shared" si="43"/>
        <v>422.7979551194228</v>
      </c>
      <c r="L80">
        <f t="shared" si="58"/>
        <v>11.391897534322114</v>
      </c>
      <c r="M80" s="2">
        <f t="shared" si="45"/>
        <v>33.422795801116685</v>
      </c>
      <c r="N80">
        <f t="shared" si="46"/>
        <v>30.025058364520813</v>
      </c>
      <c r="O80">
        <f t="shared" si="27"/>
        <v>10.639539487826617</v>
      </c>
      <c r="P80" s="34">
        <f t="shared" si="21"/>
        <v>24.288744147431458</v>
      </c>
    </row>
    <row r="84" spans="1:20">
      <c r="O84" s="9" t="s">
        <v>288</v>
      </c>
      <c r="P84" s="2"/>
    </row>
    <row r="85" spans="1:20">
      <c r="C85" s="2"/>
      <c r="D85" s="2"/>
      <c r="E85" s="2"/>
      <c r="F85" s="2"/>
      <c r="G85" s="2"/>
      <c r="H85" s="2"/>
      <c r="I85" s="2"/>
      <c r="J85" s="2"/>
      <c r="K85" s="4" t="s">
        <v>111</v>
      </c>
      <c r="L85" s="2"/>
      <c r="M85" s="2"/>
      <c r="N85" s="2"/>
      <c r="O85">
        <v>1.25</v>
      </c>
      <c r="P85" s="2" t="s">
        <v>61</v>
      </c>
      <c r="Q85" s="9"/>
    </row>
    <row r="86" spans="1:20">
      <c r="C86" s="2"/>
      <c r="D86" s="2"/>
      <c r="E86" s="2"/>
      <c r="F86" s="2"/>
      <c r="G86" s="2"/>
      <c r="H86" s="2"/>
      <c r="I86" s="2"/>
      <c r="J86" s="2"/>
      <c r="K86" s="4">
        <v>1.34</v>
      </c>
      <c r="M86" s="2" t="s">
        <v>113</v>
      </c>
      <c r="N86" s="2" t="s">
        <v>251</v>
      </c>
      <c r="O86" t="s">
        <v>117</v>
      </c>
    </row>
    <row r="87" spans="1:20">
      <c r="A87" s="5" t="s">
        <v>249</v>
      </c>
      <c r="B87" s="5">
        <f>B29</f>
        <v>13</v>
      </c>
      <c r="C87" s="2"/>
      <c r="D87" s="11" t="s">
        <v>425</v>
      </c>
      <c r="E87" s="12" t="s">
        <v>426</v>
      </c>
      <c r="F87" s="12" t="s">
        <v>427</v>
      </c>
      <c r="G87" s="12" t="s">
        <v>302</v>
      </c>
      <c r="H87" s="12" t="s">
        <v>48</v>
      </c>
      <c r="I87" s="13" t="s">
        <v>43</v>
      </c>
      <c r="J87" s="2" t="s">
        <v>303</v>
      </c>
      <c r="K87" s="2" t="s">
        <v>428</v>
      </c>
      <c r="L87" s="9" t="s">
        <v>112</v>
      </c>
      <c r="M87" s="9" t="s">
        <v>114</v>
      </c>
      <c r="N87" s="9" t="s">
        <v>252</v>
      </c>
      <c r="O87" s="9" t="s">
        <v>119</v>
      </c>
      <c r="P87" t="s">
        <v>383</v>
      </c>
    </row>
    <row r="88" spans="1:20">
      <c r="A88" s="5" t="s">
        <v>109</v>
      </c>
      <c r="B88" s="5">
        <f>B30</f>
        <v>6.5</v>
      </c>
      <c r="D88" s="35">
        <v>14.8</v>
      </c>
      <c r="E88" s="32">
        <f t="shared" ref="E88:E90" si="59">(0.5+(0.00000036*$B$91*$B$92^3*($B$88*0.0254)*($B$87*0.0254)^4)*($B$93+$B$94)*$D88-(0.25-(0.00000036*$B$91*$B$92^3*($B$88*0.0254)*($B$87*0.0254)^4)*(($B$93+$B$94)^2*$B$89-($B$93+$B$94)*$D88))^(1/2))/((0.00000036*$B$91*$B$92^3*($B$88*0.0254)*($B$87*0.0254)^4)*($B$93+$B$94)^2)</f>
        <v>26.663781354213853</v>
      </c>
      <c r="F88" s="9">
        <f t="shared" ref="F88" si="60">D88*E88</f>
        <v>394.62396404236506</v>
      </c>
      <c r="G88" s="9">
        <f t="shared" ref="G88" si="61">(D88-($B$93+$B$94)*E88)*(E88-$B$89)</f>
        <v>302.34417744512183</v>
      </c>
      <c r="H88" s="9">
        <f t="shared" ref="H88" si="62">G88/F88*100</f>
        <v>76.615767159204623</v>
      </c>
      <c r="I88" s="15">
        <f t="shared" ref="I88" si="63">$B$92*(D88-(E88*($B$93+$B$94)))</f>
        <v>7390.5932005218401</v>
      </c>
      <c r="J88" s="2">
        <f t="shared" ref="J88" si="64">(($B$87*0.0254)^4)*($B$88*0.0254)*(I88^3)*2*$B$91*0.00000018</f>
        <v>302.34417744512155</v>
      </c>
      <c r="K88" s="2">
        <f t="shared" ref="K88" si="65">$K$86*0.6*((0.6*3.1416*($B$87*0.0254)^2*J88^2)^(1/3))/9.81*1000</f>
        <v>2178.7473561351881</v>
      </c>
      <c r="L88">
        <f t="shared" ref="L88" si="66">K88/F88</f>
        <v>5.5210720956147696</v>
      </c>
      <c r="M88" s="2">
        <f t="shared" ref="M88" si="67">1.30652287/($B$87*0.0254)*POWER(K88*0.00981,3/2)</f>
        <v>390.97930298080655</v>
      </c>
      <c r="N88">
        <f t="shared" ref="N88" si="68">POWER(I88/$B$90,3)*100</f>
        <v>349.50308273162671</v>
      </c>
      <c r="O88">
        <f t="shared" ref="O88" si="69">0.65*60*O$85/E88</f>
        <v>1.8283228230978468</v>
      </c>
      <c r="P88" s="33">
        <f t="shared" ref="P88:P119" si="70">($N$19*$Q$18+SQRT($N$19^2*$Q$18^2+4*$N$19*($Y$24-(D88*$Q$18))))/(2*$N$19)</f>
        <v>22.141674590863708</v>
      </c>
    </row>
    <row r="89" spans="1:20">
      <c r="A89" s="10" t="s">
        <v>63</v>
      </c>
      <c r="B89" s="5">
        <f>$Q$18</f>
        <v>1.3</v>
      </c>
      <c r="D89" s="35">
        <v>13.5</v>
      </c>
      <c r="E89" s="32">
        <f>(0.5+(0.00000036*$B$91*$B$92^3*($B$88*0.0254)*($B$87*0.0254)^4)*($B$93+$B$94)*$D89-(0.25-(0.00000036*$B$91*$B$92^3*($B$88*0.0254)*($B$87*0.0254)^4)*(($B$93+$B$94)^2*$B$89-($B$93+$B$94)*$D89))^(1/2))/((0.00000036*$B$91*$B$92^3*($B$88*0.0254)*($B$87*0.0254)^4)*($B$93+$B$94)^2)</f>
        <v>22.972912341504657</v>
      </c>
      <c r="F89" s="36">
        <f>D89*E89</f>
        <v>310.13431661031285</v>
      </c>
      <c r="G89" s="36">
        <f>(D89-($B$93+$B$94)*E89)*(E89-$B$89)</f>
        <v>238.81220574641077</v>
      </c>
      <c r="H89" s="36">
        <f>G89/F89*100</f>
        <v>77.002831662282929</v>
      </c>
      <c r="I89" s="37">
        <f>$B$92*(D89-(E89*($B$93+$B$94)))</f>
        <v>6831.7337896128483</v>
      </c>
      <c r="J89" s="38">
        <f>(($B$87*0.0254)^4)*($B$88*0.0254)*(I89^3)*2*$B$91*0.00000018</f>
        <v>238.81220574641114</v>
      </c>
      <c r="K89" s="38">
        <f>$K$86*0.6*((0.6*3.1416*($B$87*0.0254)^2*J89^2)^(1/3))/9.81*1000</f>
        <v>1861.7019207176745</v>
      </c>
      <c r="L89" s="38">
        <f>K89/F89</f>
        <v>6.0028891386983245</v>
      </c>
      <c r="M89" s="38">
        <f>1.30652287/($B$87*0.0254)*POWER(K89*0.00981,3/2)</f>
        <v>308.82231811124763</v>
      </c>
      <c r="N89" s="38">
        <f>POWER(I89/$B$90,3)*100</f>
        <v>276.06154948183189</v>
      </c>
      <c r="O89" s="38">
        <f>0.65*60*O$85/E89</f>
        <v>2.1220644241925064</v>
      </c>
      <c r="P89" s="33">
        <f t="shared" si="70"/>
        <v>22.502693766850005</v>
      </c>
    </row>
    <row r="90" spans="1:20">
      <c r="A90" s="4" t="s">
        <v>34</v>
      </c>
      <c r="B90" s="4">
        <v>4870</v>
      </c>
      <c r="D90" s="14">
        <v>13</v>
      </c>
      <c r="E90" s="9">
        <f t="shared" si="59"/>
        <v>21.608071215471554</v>
      </c>
      <c r="F90" s="9">
        <f t="shared" ref="F90" si="71">D90*E90</f>
        <v>280.90492580113022</v>
      </c>
      <c r="G90" s="9">
        <f t="shared" ref="G90" si="72">(D90-($B$93+$B$94)*E90)*(E90-$B$89)</f>
        <v>216.61255490127024</v>
      </c>
      <c r="H90" s="9">
        <f t="shared" ref="H90" si="73">G90/F90*100</f>
        <v>77.112408863425742</v>
      </c>
      <c r="I90" s="15">
        <f t="shared" ref="I90" si="74">$B$92*(D90-(E90*($B$93+$B$94)))</f>
        <v>6613.1235514120253</v>
      </c>
      <c r="J90" s="2">
        <f t="shared" ref="J90" si="75">(($B$87*0.0254)^4)*($B$88*0.0254)*(I90^3)*2*$B$91*0.00000018</f>
        <v>216.61255490126996</v>
      </c>
      <c r="K90" s="39">
        <f t="shared" ref="K90" si="76">$K$86*0.6*((0.6*3.1416*($B$87*0.0254)^2*J90^2)^(1/3))/9.81*1000</f>
        <v>1744.4621466728909</v>
      </c>
      <c r="L90">
        <f t="shared" ref="L90" si="77">K90/F90</f>
        <v>6.2101515012517163</v>
      </c>
      <c r="M90" s="2">
        <f t="shared" ref="M90" si="78">1.30652287/($B$87*0.0254)*POWER(K90*0.00981,3/2)</f>
        <v>280.11462449136297</v>
      </c>
      <c r="N90">
        <f t="shared" ref="N90" si="79">POWER(I90/$B$90,3)*100</f>
        <v>250.39925139656151</v>
      </c>
      <c r="O90">
        <f t="shared" ref="O90" si="80">0.65*60*O$85/E90</f>
        <v>2.256101412933821</v>
      </c>
      <c r="P90" s="34">
        <f t="shared" si="70"/>
        <v>22.639969153826556</v>
      </c>
    </row>
    <row r="91" spans="1:20">
      <c r="A91" s="4" t="s">
        <v>110</v>
      </c>
      <c r="B91" s="4">
        <v>1.06</v>
      </c>
      <c r="D91" s="14">
        <v>12.75</v>
      </c>
      <c r="E91" s="28">
        <f t="shared" ref="E91:E119" si="81">(0.5+(0.00000036*$B$91*$B$92^3*($B$88*0.0254)*($B$87*0.0254)^4)*($B$93+$B$94)*$D91-(0.25-(0.00000036*$B$91*$B$92^3*($B$88*0.0254)*($B$87*0.0254)^4)*(($B$93+$B$94)^2*$B$89-($B$93+$B$94)*$D91))^(1/2))/((0.00000036*$B$91*$B$92^3*($B$88*0.0254)*($B$87*0.0254)^4)*($B$93+$B$94)^2)</f>
        <v>20.937501727255039</v>
      </c>
      <c r="F91" s="28">
        <f t="shared" ref="F91:F99" si="82">D91*E91</f>
        <v>266.95314702250175</v>
      </c>
      <c r="G91" s="28">
        <f>(D91-($B$93+$B$94)*E91)*(E91-$B$89)</f>
        <v>205.97284257849714</v>
      </c>
      <c r="H91" s="28">
        <f t="shared" ref="H91:H99" si="83">G91/F91*100</f>
        <v>77.156926178186424</v>
      </c>
      <c r="I91" s="29">
        <f>$B$92*(D91-(E91*($B$93+$B$94)))</f>
        <v>6503.0248843430027</v>
      </c>
      <c r="J91" s="27">
        <f>(($B$87*0.0254)^4)*($B$88*0.0254)*(I91^3)*2*$B$91*0.00000018</f>
        <v>205.97284257849739</v>
      </c>
      <c r="K91" s="41">
        <f>$K$86*0.6*((0.6*3.1416*($B$87*0.0254)^2*J91^2)^(1/3))/9.81*1000</f>
        <v>1686.8602662926294</v>
      </c>
      <c r="L91" s="27">
        <f t="shared" ref="L91:L115" si="84">K91/F91</f>
        <v>6.3189375555495593</v>
      </c>
      <c r="M91" s="27">
        <f>1.30652287/($B$87*0.0254)*POWER(K91*0.00981,3/2)</f>
        <v>266.3557773952287</v>
      </c>
      <c r="N91" s="27">
        <f>POWER(I91/$B$90,3)*100</f>
        <v>238.09998276962827</v>
      </c>
      <c r="O91" s="27">
        <f t="shared" ref="O91:O119" si="85">0.65*60*O$85/E91</f>
        <v>2.3283580168755527</v>
      </c>
      <c r="P91" s="34">
        <f t="shared" si="70"/>
        <v>22.708286484799824</v>
      </c>
    </row>
    <row r="92" spans="1:20">
      <c r="A92" s="4" t="s">
        <v>157</v>
      </c>
      <c r="B92" s="4">
        <v>620</v>
      </c>
      <c r="D92" s="14">
        <v>12.5</v>
      </c>
      <c r="E92" s="9">
        <f t="shared" si="81"/>
        <v>20.274987597705127</v>
      </c>
      <c r="F92" s="9">
        <f t="shared" si="82"/>
        <v>253.4373449713141</v>
      </c>
      <c r="G92" s="9">
        <f t="shared" ref="G92:G115" si="86">(D92-($B$93+$B$94)*E92)*(E92-$B$89)</f>
        <v>195.63784004462545</v>
      </c>
      <c r="H92" s="9">
        <f t="shared" si="83"/>
        <v>77.193769555457266</v>
      </c>
      <c r="I92" s="15">
        <f t="shared" ref="I92:I114" si="87">$B$92*(D92-(E92*($B$93+$B$94)))</f>
        <v>6392.3868304576645</v>
      </c>
      <c r="J92" s="2">
        <f t="shared" ref="J92:J115" si="88">(($B$87*0.0254)^4)*($B$88*0.0254)*(I92^3)*2*$B$91*0.00000018</f>
        <v>195.63784004462568</v>
      </c>
      <c r="K92" s="40">
        <f t="shared" ref="K92:K115" si="89">$K$86*0.6*((0.6*3.1416*($B$87*0.0254)^2*J92^2)^(1/3))/9.81*1000</f>
        <v>1629.9503407574416</v>
      </c>
      <c r="L92">
        <f t="shared" si="84"/>
        <v>6.4313739592794867</v>
      </c>
      <c r="M92" s="2">
        <f t="shared" ref="M92:M115" si="90">1.30652287/($B$87*0.0254)*POWER(K92*0.00981,3/2)</f>
        <v>252.99096871545353</v>
      </c>
      <c r="N92">
        <f t="shared" ref="N92:N115" si="91">POWER(I92/$B$90,3)*100</f>
        <v>226.15295181917134</v>
      </c>
      <c r="O92">
        <f t="shared" si="85"/>
        <v>2.4044404350470669</v>
      </c>
      <c r="P92" s="34">
        <f t="shared" si="70"/>
        <v>22.776392880556966</v>
      </c>
    </row>
    <row r="93" spans="1:20">
      <c r="A93" s="4" t="s">
        <v>158</v>
      </c>
      <c r="B93" s="4">
        <v>0.108</v>
      </c>
      <c r="C93" s="2"/>
      <c r="D93" s="14">
        <v>12.25</v>
      </c>
      <c r="E93" s="9">
        <f t="shared" si="81"/>
        <v>19.620648392360955</v>
      </c>
      <c r="F93" s="9">
        <f t="shared" si="82"/>
        <v>240.35294280642171</v>
      </c>
      <c r="G93" s="9">
        <f t="shared" si="86"/>
        <v>185.60593876035028</v>
      </c>
      <c r="H93" s="9">
        <f t="shared" si="83"/>
        <v>77.222245167114849</v>
      </c>
      <c r="I93" s="15">
        <f t="shared" si="87"/>
        <v>6281.2013836475107</v>
      </c>
      <c r="J93" s="2">
        <f t="shared" si="88"/>
        <v>185.60593876035017</v>
      </c>
      <c r="K93" s="40">
        <f t="shared" si="89"/>
        <v>1573.7426407402495</v>
      </c>
      <c r="L93">
        <f t="shared" si="84"/>
        <v>6.5476320878988732</v>
      </c>
      <c r="M93" s="2">
        <f t="shared" si="90"/>
        <v>240.01811835384785</v>
      </c>
      <c r="N93">
        <f t="shared" si="91"/>
        <v>214.55629910985942</v>
      </c>
      <c r="O93">
        <f t="shared" si="85"/>
        <v>2.4846273693472933</v>
      </c>
      <c r="P93" s="34">
        <f t="shared" si="70"/>
        <v>22.844290282953885</v>
      </c>
      <c r="Q93" s="9" t="s">
        <v>0</v>
      </c>
    </row>
    <row r="94" spans="1:20">
      <c r="A94" s="4" t="s">
        <v>250</v>
      </c>
      <c r="B94" s="4">
        <v>0</v>
      </c>
      <c r="D94" s="14">
        <v>12</v>
      </c>
      <c r="E94" s="9">
        <f t="shared" si="81"/>
        <v>18.974606664208736</v>
      </c>
      <c r="F94" s="9">
        <f t="shared" si="82"/>
        <v>227.69527997050483</v>
      </c>
      <c r="G94" s="9">
        <f t="shared" si="86"/>
        <v>175.87545935552481</v>
      </c>
      <c r="H94" s="9">
        <f t="shared" si="83"/>
        <v>77.241592086716665</v>
      </c>
      <c r="I94" s="15">
        <f t="shared" si="87"/>
        <v>6169.4603377645835</v>
      </c>
      <c r="J94" s="2">
        <f t="shared" si="88"/>
        <v>175.87545935552518</v>
      </c>
      <c r="K94" s="40">
        <f t="shared" si="89"/>
        <v>1518.2476935355144</v>
      </c>
      <c r="L94">
        <f t="shared" si="84"/>
        <v>6.6678926929543074</v>
      </c>
      <c r="M94" s="2">
        <f t="shared" si="90"/>
        <v>227.43505461663369</v>
      </c>
      <c r="N94">
        <f t="shared" si="91"/>
        <v>203.30808332749916</v>
      </c>
      <c r="O94">
        <f t="shared" si="85"/>
        <v>2.5692232183108041</v>
      </c>
      <c r="P94" s="34">
        <f t="shared" si="70"/>
        <v>22.911980604233765</v>
      </c>
    </row>
    <row r="95" spans="1:20">
      <c r="D95" s="14">
        <v>11.75</v>
      </c>
      <c r="E95" s="9">
        <f t="shared" si="81"/>
        <v>18.336988059239779</v>
      </c>
      <c r="F95" s="9">
        <f t="shared" si="82"/>
        <v>215.45960969606742</v>
      </c>
      <c r="G95" s="9">
        <f t="shared" si="86"/>
        <v>166.44464866243683</v>
      </c>
      <c r="H95" s="9">
        <f t="shared" si="83"/>
        <v>77.250974740568651</v>
      </c>
      <c r="I95" s="15">
        <f t="shared" si="87"/>
        <v>6057.1552795533044</v>
      </c>
      <c r="J95" s="2">
        <f t="shared" si="88"/>
        <v>166.44464866243717</v>
      </c>
      <c r="K95" s="40">
        <f t="shared" si="89"/>
        <v>1463.4762921266338</v>
      </c>
      <c r="L95">
        <f t="shared" si="84"/>
        <v>6.7923463436652893</v>
      </c>
      <c r="M95" s="2">
        <f t="shared" si="90"/>
        <v>215.23951037799279</v>
      </c>
      <c r="N95">
        <f t="shared" si="91"/>
        <v>192.40627784956519</v>
      </c>
      <c r="O95">
        <f t="shared" si="85"/>
        <v>2.6585609284636842</v>
      </c>
      <c r="P95" s="34">
        <f t="shared" si="70"/>
        <v>22.979465727655459</v>
      </c>
      <c r="Q95" s="5" t="s">
        <v>123</v>
      </c>
      <c r="R95" s="5" t="s">
        <v>124</v>
      </c>
      <c r="S95" s="5" t="s">
        <v>115</v>
      </c>
      <c r="T95" s="5" t="s">
        <v>108</v>
      </c>
    </row>
    <row r="96" spans="1:20">
      <c r="D96" s="14">
        <v>11.5</v>
      </c>
      <c r="E96" s="9">
        <f t="shared" si="81"/>
        <v>17.707921426852398</v>
      </c>
      <c r="F96" s="9">
        <f t="shared" si="82"/>
        <v>203.64109640880258</v>
      </c>
      <c r="G96" s="9">
        <f t="shared" si="86"/>
        <v>157.31167660109818</v>
      </c>
      <c r="H96" s="9">
        <f t="shared" si="83"/>
        <v>77.249474381782122</v>
      </c>
      <c r="I96" s="15">
        <f t="shared" si="87"/>
        <v>5944.277581257963</v>
      </c>
      <c r="J96" s="2">
        <f t="shared" si="88"/>
        <v>157.31167660109861</v>
      </c>
      <c r="K96" s="40">
        <f t="shared" si="89"/>
        <v>1409.4395046695006</v>
      </c>
      <c r="L96">
        <f t="shared" si="84"/>
        <v>6.921193852934767</v>
      </c>
      <c r="M96" s="2">
        <f t="shared" si="90"/>
        <v>203.42911905225446</v>
      </c>
      <c r="N96">
        <f t="shared" si="91"/>
        <v>181.84876714466984</v>
      </c>
      <c r="O96">
        <f t="shared" si="85"/>
        <v>2.7530052130271603</v>
      </c>
      <c r="P96" s="34">
        <f t="shared" si="70"/>
        <v>23.046747508104808</v>
      </c>
      <c r="Q96" s="5">
        <v>400</v>
      </c>
      <c r="R96" s="5">
        <v>2.5</v>
      </c>
      <c r="S96" s="5">
        <v>37.5</v>
      </c>
      <c r="T96" s="2">
        <f>S96/R96</f>
        <v>15</v>
      </c>
    </row>
    <row r="97" spans="4:20">
      <c r="D97" s="14">
        <v>11.25</v>
      </c>
      <c r="E97" s="9">
        <f t="shared" si="81"/>
        <v>17.087538935373111</v>
      </c>
      <c r="F97" s="9">
        <f t="shared" si="82"/>
        <v>192.23481302294749</v>
      </c>
      <c r="G97" s="9">
        <f t="shared" si="86"/>
        <v>148.47463290774152</v>
      </c>
      <c r="H97" s="9">
        <f t="shared" si="83"/>
        <v>77.236079445203188</v>
      </c>
      <c r="I97" s="15">
        <f t="shared" si="87"/>
        <v>5830.8183928874168</v>
      </c>
      <c r="J97" s="2">
        <f t="shared" si="88"/>
        <v>148.47463290774201</v>
      </c>
      <c r="K97" s="40">
        <f t="shared" si="89"/>
        <v>1356.1486844157416</v>
      </c>
      <c r="L97">
        <f t="shared" si="84"/>
        <v>7.0546466745014351</v>
      </c>
      <c r="M97" s="2">
        <f t="shared" si="90"/>
        <v>192.00141036331624</v>
      </c>
      <c r="N97">
        <f t="shared" si="91"/>
        <v>171.63334299077553</v>
      </c>
      <c r="O97">
        <f t="shared" si="85"/>
        <v>2.8529561913144827</v>
      </c>
      <c r="P97" s="34">
        <f t="shared" si="70"/>
        <v>23.113827772689547</v>
      </c>
      <c r="Q97" s="5">
        <v>550</v>
      </c>
      <c r="R97" s="5">
        <v>4.2</v>
      </c>
      <c r="S97" s="5">
        <v>62.6</v>
      </c>
      <c r="T97" s="2">
        <f t="shared" ref="T97:T101" si="92">S97/R97</f>
        <v>14.904761904761905</v>
      </c>
    </row>
    <row r="98" spans="4:20">
      <c r="D98" s="14">
        <v>11</v>
      </c>
      <c r="E98" s="9">
        <f t="shared" si="81"/>
        <v>16.475976192989698</v>
      </c>
      <c r="F98" s="9">
        <f t="shared" si="82"/>
        <v>181.23573812288669</v>
      </c>
      <c r="G98" s="9">
        <f t="shared" si="86"/>
        <v>139.9315236970904</v>
      </c>
      <c r="H98" s="9">
        <f t="shared" si="83"/>
        <v>77.209674618484996</v>
      </c>
      <c r="I98" s="15">
        <f t="shared" si="87"/>
        <v>5716.7686341174103</v>
      </c>
      <c r="J98" s="2">
        <f t="shared" si="88"/>
        <v>139.9315236970906</v>
      </c>
      <c r="K98" s="40">
        <f t="shared" si="89"/>
        <v>1303.6154801008674</v>
      </c>
      <c r="L98">
        <f t="shared" si="84"/>
        <v>7.1929272537679765</v>
      </c>
      <c r="M98" s="2">
        <f t="shared" si="90"/>
        <v>180.95380589911025</v>
      </c>
      <c r="N98">
        <f t="shared" si="91"/>
        <v>161.75770050125686</v>
      </c>
      <c r="O98">
        <f t="shared" si="85"/>
        <v>2.9588535106491873</v>
      </c>
      <c r="P98" s="34">
        <f t="shared" si="70"/>
        <v>23.180708321318207</v>
      </c>
      <c r="Q98" s="5">
        <v>850</v>
      </c>
      <c r="R98" s="5">
        <v>6</v>
      </c>
      <c r="S98" s="5">
        <v>87</v>
      </c>
      <c r="T98" s="2">
        <f t="shared" si="92"/>
        <v>14.5</v>
      </c>
    </row>
    <row r="99" spans="4:20">
      <c r="D99" s="14">
        <v>10.75</v>
      </c>
      <c r="E99" s="9">
        <f t="shared" si="81"/>
        <v>15.873372374409383</v>
      </c>
      <c r="F99" s="9">
        <f t="shared" si="82"/>
        <v>170.63875302490086</v>
      </c>
      <c r="G99" s="9">
        <f t="shared" si="86"/>
        <v>131.68026784830832</v>
      </c>
      <c r="H99" s="9">
        <f t="shared" si="83"/>
        <v>77.169028438160566</v>
      </c>
      <c r="I99" s="15">
        <f t="shared" si="87"/>
        <v>5602.1189858095468</v>
      </c>
      <c r="J99" s="2">
        <f t="shared" si="88"/>
        <v>131.68026784830835</v>
      </c>
      <c r="K99" s="40">
        <f t="shared" si="89"/>
        <v>1251.8518468242094</v>
      </c>
      <c r="L99">
        <f t="shared" si="84"/>
        <v>7.336269309478193</v>
      </c>
      <c r="M99" s="2">
        <f t="shared" si="90"/>
        <v>170.28361443806008</v>
      </c>
      <c r="N99">
        <f t="shared" si="91"/>
        <v>152.21943394714</v>
      </c>
      <c r="O99">
        <f t="shared" si="85"/>
        <v>3.0711810225402019</v>
      </c>
      <c r="P99" s="34">
        <f t="shared" si="70"/>
        <v>23.247390927263631</v>
      </c>
      <c r="Q99" s="5">
        <v>1000</v>
      </c>
      <c r="R99" s="5">
        <v>9</v>
      </c>
      <c r="S99" s="5">
        <v>130</v>
      </c>
      <c r="T99" s="2">
        <f t="shared" si="92"/>
        <v>14.444444444444445</v>
      </c>
    </row>
    <row r="100" spans="4:20">
      <c r="D100" s="14">
        <v>10.5</v>
      </c>
      <c r="E100" s="9">
        <f t="shared" si="81"/>
        <v>15.279870353577083</v>
      </c>
      <c r="F100" s="9">
        <f t="shared" ref="F100:F115" si="93">D100*E100</f>
        <v>160.43863871255937</v>
      </c>
      <c r="G100" s="9">
        <f t="shared" si="86"/>
        <v>123.71869320381221</v>
      </c>
      <c r="H100" s="9">
        <f t="shared" ref="H100:H115" si="94">G100/F100*100</f>
        <v>77.112779188725028</v>
      </c>
      <c r="I100" s="15">
        <f t="shared" si="87"/>
        <v>5486.8598811244783</v>
      </c>
      <c r="J100" s="2">
        <f t="shared" si="88"/>
        <v>123.71869320381256</v>
      </c>
      <c r="K100" s="40">
        <f t="shared" si="89"/>
        <v>1200.8700574494028</v>
      </c>
      <c r="L100">
        <f t="shared" si="84"/>
        <v>7.4849180165438352</v>
      </c>
      <c r="M100" s="2">
        <f t="shared" si="90"/>
        <v>159.98802703353792</v>
      </c>
      <c r="N100">
        <f t="shared" si="91"/>
        <v>143.0160323630156</v>
      </c>
      <c r="O100">
        <f t="shared" si="85"/>
        <v>3.1904720964198114</v>
      </c>
      <c r="P100" s="34">
        <f t="shared" si="70"/>
        <v>23.31387733771157</v>
      </c>
      <c r="Q100" s="27">
        <v>1700</v>
      </c>
      <c r="R100" s="27">
        <v>22.2</v>
      </c>
      <c r="S100" s="27">
        <v>283</v>
      </c>
      <c r="T100" s="27">
        <f t="shared" si="92"/>
        <v>12.747747747747749</v>
      </c>
    </row>
    <row r="101" spans="4:20">
      <c r="D101" s="14">
        <v>10.25</v>
      </c>
      <c r="E101" s="9">
        <f t="shared" si="81"/>
        <v>14.695616842811837</v>
      </c>
      <c r="F101" s="9">
        <f t="shared" si="93"/>
        <v>150.63007263882133</v>
      </c>
      <c r="G101" s="9">
        <f t="shared" si="86"/>
        <v>116.04453256935274</v>
      </c>
      <c r="H101" s="9">
        <f t="shared" si="94"/>
        <v>77.039418846728353</v>
      </c>
      <c r="I101" s="15">
        <f t="shared" si="87"/>
        <v>5370.9814962053197</v>
      </c>
      <c r="J101" s="2">
        <f t="shared" si="88"/>
        <v>116.04453256935291</v>
      </c>
      <c r="K101" s="40">
        <f t="shared" si="89"/>
        <v>1150.6827145561851</v>
      </c>
      <c r="L101">
        <f t="shared" si="84"/>
        <v>7.6391300515088778</v>
      </c>
      <c r="M101" s="2">
        <f t="shared" si="90"/>
        <v>150.06411184132818</v>
      </c>
      <c r="N101">
        <f t="shared" si="91"/>
        <v>134.14487492321948</v>
      </c>
      <c r="O101">
        <f t="shared" si="85"/>
        <v>3.3173156677560902</v>
      </c>
      <c r="P101" s="34">
        <f t="shared" si="70"/>
        <v>23.380169274294797</v>
      </c>
      <c r="Q101" s="5">
        <v>1900</v>
      </c>
      <c r="R101" s="5">
        <v>25.3</v>
      </c>
      <c r="S101" s="5">
        <v>350</v>
      </c>
      <c r="T101" s="2">
        <f t="shared" si="92"/>
        <v>13.83399209486166</v>
      </c>
    </row>
    <row r="102" spans="4:20">
      <c r="D102" s="14">
        <v>10</v>
      </c>
      <c r="E102" s="9">
        <f t="shared" si="81"/>
        <v>14.120762538744483</v>
      </c>
      <c r="F102" s="9">
        <f t="shared" si="93"/>
        <v>141.20762538744484</v>
      </c>
      <c r="G102" s="9">
        <f t="shared" si="86"/>
        <v>108.65541950291872</v>
      </c>
      <c r="H102" s="9">
        <f t="shared" si="94"/>
        <v>76.947274769893255</v>
      </c>
      <c r="I102" s="15">
        <f t="shared" si="87"/>
        <v>5254.4737404056696</v>
      </c>
      <c r="J102" s="2">
        <f t="shared" si="88"/>
        <v>108.65541950291941</v>
      </c>
      <c r="K102" s="40">
        <f t="shared" si="89"/>
        <v>1101.3027629764706</v>
      </c>
      <c r="L102">
        <f t="shared" si="84"/>
        <v>7.799173450829735</v>
      </c>
      <c r="M102" s="2">
        <f t="shared" si="90"/>
        <v>140.50880867401349</v>
      </c>
      <c r="N102">
        <f t="shared" si="91"/>
        <v>125.60322607390498</v>
      </c>
      <c r="O102">
        <f t="shared" si="85"/>
        <v>3.4523631330985118</v>
      </c>
      <c r="P102" s="34">
        <f t="shared" si="70"/>
        <v>23.446268433613309</v>
      </c>
    </row>
    <row r="103" spans="4:20">
      <c r="D103" s="14">
        <v>9.75</v>
      </c>
      <c r="E103" s="9">
        <f t="shared" si="81"/>
        <v>13.555462275468512</v>
      </c>
      <c r="F103" s="9">
        <f t="shared" si="93"/>
        <v>132.16575718581799</v>
      </c>
      <c r="G103" s="9">
        <f t="shared" si="86"/>
        <v>101.54888387911556</v>
      </c>
      <c r="H103" s="9">
        <f t="shared" si="94"/>
        <v>76.834488782403184</v>
      </c>
      <c r="I103" s="15">
        <f t="shared" si="87"/>
        <v>5137.3262460346286</v>
      </c>
      <c r="J103" s="2">
        <f t="shared" si="88"/>
        <v>101.54888387911583</v>
      </c>
      <c r="K103" s="40">
        <f t="shared" si="89"/>
        <v>1052.743502949947</v>
      </c>
      <c r="L103">
        <f t="shared" si="84"/>
        <v>7.9653272176229875</v>
      </c>
      <c r="M103" s="2">
        <f t="shared" si="90"/>
        <v>131.31892326500036</v>
      </c>
      <c r="N103">
        <f t="shared" si="91"/>
        <v>117.38823040555846</v>
      </c>
      <c r="O103">
        <f t="shared" si="85"/>
        <v>3.5963362229426492</v>
      </c>
      <c r="P103" s="34">
        <f t="shared" si="70"/>
        <v>23.512176487740923</v>
      </c>
    </row>
    <row r="104" spans="4:20">
      <c r="D104" s="14">
        <v>9.5</v>
      </c>
      <c r="E104" s="9">
        <f t="shared" si="81"/>
        <v>12.999875185342937</v>
      </c>
      <c r="F104" s="9">
        <f t="shared" si="93"/>
        <v>123.4988142607579</v>
      </c>
      <c r="G104" s="9">
        <f t="shared" si="86"/>
        <v>94.722347214654576</v>
      </c>
      <c r="H104" s="9">
        <f t="shared" si="94"/>
        <v>76.698993250782067</v>
      </c>
      <c r="I104" s="15">
        <f t="shared" si="87"/>
        <v>5019.5283575894373</v>
      </c>
      <c r="J104" s="2">
        <f t="shared" si="88"/>
        <v>94.722347214654903</v>
      </c>
      <c r="K104" s="40">
        <f t="shared" si="89"/>
        <v>1005.0186039370948</v>
      </c>
      <c r="L104">
        <f t="shared" si="84"/>
        <v>8.1378805938579966</v>
      </c>
      <c r="M104" s="2">
        <f t="shared" si="90"/>
        <v>122.49112122363873</v>
      </c>
      <c r="N104">
        <f>POWER(I104/$B$90,3)*100</f>
        <v>109.49690724937615</v>
      </c>
      <c r="O104">
        <f t="shared" si="85"/>
        <v>3.7500360045736834</v>
      </c>
      <c r="P104" s="34">
        <f t="shared" si="70"/>
        <v>23.577895084718815</v>
      </c>
    </row>
    <row r="105" spans="4:20">
      <c r="D105" s="14">
        <v>9.25</v>
      </c>
      <c r="E105" s="9">
        <f t="shared" si="81"/>
        <v>12.454164867921802</v>
      </c>
      <c r="F105" s="9">
        <f t="shared" si="93"/>
        <v>115.20102502827667</v>
      </c>
      <c r="G105" s="9">
        <f t="shared" si="86"/>
        <v>88.173117739536096</v>
      </c>
      <c r="H105" s="9">
        <f t="shared" si="94"/>
        <v>76.538483679197782</v>
      </c>
      <c r="I105" s="15">
        <f t="shared" si="87"/>
        <v>4901.0691204439563</v>
      </c>
      <c r="J105" s="2">
        <f t="shared" si="88"/>
        <v>88.17311773953594</v>
      </c>
      <c r="K105" s="40">
        <f t="shared" si="89"/>
        <v>958.14211913016368</v>
      </c>
      <c r="L105">
        <f t="shared" si="84"/>
        <v>8.3171318909270369</v>
      </c>
      <c r="M105" s="2">
        <f t="shared" si="90"/>
        <v>114.02192166146706</v>
      </c>
      <c r="N105">
        <f t="shared" si="91"/>
        <v>101.92614497965661</v>
      </c>
      <c r="O105">
        <f t="shared" si="85"/>
        <v>3.9143531916431744</v>
      </c>
      <c r="P105" s="34">
        <f t="shared" si="70"/>
        <v>23.643425849036337</v>
      </c>
    </row>
    <row r="106" spans="4:20">
      <c r="D106" s="14">
        <v>9</v>
      </c>
      <c r="E106" s="9">
        <f t="shared" si="81"/>
        <v>11.918499567515987</v>
      </c>
      <c r="F106" s="9">
        <f t="shared" si="93"/>
        <v>107.26649610764389</v>
      </c>
      <c r="G106" s="9">
        <f t="shared" si="86"/>
        <v>81.898385197308215</v>
      </c>
      <c r="H106" s="9">
        <f t="shared" si="94"/>
        <v>76.350387277609684</v>
      </c>
      <c r="I106" s="15">
        <f t="shared" si="87"/>
        <v>4781.9372689591301</v>
      </c>
      <c r="J106" s="2">
        <f t="shared" si="88"/>
        <v>81.898385197308301</v>
      </c>
      <c r="K106" s="40">
        <f t="shared" si="89"/>
        <v>912.12850070577338</v>
      </c>
      <c r="L106">
        <f t="shared" si="84"/>
        <v>8.5033867405385912</v>
      </c>
      <c r="M106" s="2">
        <f t="shared" si="90"/>
        <v>105.90769046812304</v>
      </c>
      <c r="N106">
        <f t="shared" si="91"/>
        <v>94.67269500302173</v>
      </c>
      <c r="O106">
        <f t="shared" si="85"/>
        <v>4.0902799655141751</v>
      </c>
      <c r="P106" s="34">
        <f t="shared" si="70"/>
        <v>23.708770382099555</v>
      </c>
    </row>
    <row r="107" spans="4:20">
      <c r="D107" s="14">
        <v>8.75</v>
      </c>
      <c r="E107" s="9">
        <f t="shared" si="81"/>
        <v>11.393052359934469</v>
      </c>
      <c r="F107" s="9">
        <f t="shared" si="93"/>
        <v>99.689208149426605</v>
      </c>
      <c r="G107" s="9">
        <f t="shared" si="86"/>
        <v>75.895215356530898</v>
      </c>
      <c r="H107" s="9">
        <f t="shared" si="94"/>
        <v>76.131826870135924</v>
      </c>
      <c r="I107" s="15">
        <f t="shared" si="87"/>
        <v>4662.1212139787885</v>
      </c>
      <c r="J107" s="2">
        <f t="shared" si="88"/>
        <v>75.895215356530798</v>
      </c>
      <c r="K107" s="42">
        <f t="shared" si="89"/>
        <v>866.99261586592479</v>
      </c>
      <c r="L107">
        <f t="shared" si="84"/>
        <v>8.6969555878743492</v>
      </c>
      <c r="M107" s="2">
        <f t="shared" si="90"/>
        <v>98.144633213783806</v>
      </c>
      <c r="N107">
        <f t="shared" si="91"/>
        <v>87.733165413786978</v>
      </c>
      <c r="O107">
        <f t="shared" si="85"/>
        <v>4.2789235456722157</v>
      </c>
      <c r="P107" s="34">
        <f t="shared" si="70"/>
        <v>23.773930262687848</v>
      </c>
    </row>
    <row r="108" spans="4:20">
      <c r="D108" s="14">
        <v>8.5</v>
      </c>
      <c r="E108" s="9">
        <f t="shared" si="81"/>
        <v>10.878001348990065</v>
      </c>
      <c r="F108" s="9">
        <f t="shared" si="93"/>
        <v>92.463011466415551</v>
      </c>
      <c r="G108" s="9">
        <f t="shared" si="86"/>
        <v>70.160544214161746</v>
      </c>
      <c r="H108" s="9">
        <f t="shared" si="94"/>
        <v>75.879579413921078</v>
      </c>
      <c r="I108" s="15">
        <f t="shared" si="87"/>
        <v>4541.6090296716256</v>
      </c>
      <c r="J108" s="2">
        <f t="shared" si="88"/>
        <v>70.160544214161803</v>
      </c>
      <c r="K108" s="40">
        <f t="shared" si="89"/>
        <v>822.74976371787909</v>
      </c>
      <c r="L108">
        <f t="shared" si="84"/>
        <v>8.8981501972463715</v>
      </c>
      <c r="M108" s="2">
        <f t="shared" si="90"/>
        <v>90.728787653223719</v>
      </c>
      <c r="N108">
        <f t="shared" si="91"/>
        <v>81.104014293210597</v>
      </c>
      <c r="O108">
        <f t="shared" si="85"/>
        <v>4.4815217829078549</v>
      </c>
      <c r="P108" s="34">
        <f t="shared" si="70"/>
        <v>23.838907047398983</v>
      </c>
    </row>
    <row r="109" spans="4:20">
      <c r="D109" s="14">
        <v>8.25</v>
      </c>
      <c r="E109" s="9">
        <f t="shared" si="81"/>
        <v>10.373529873402669</v>
      </c>
      <c r="F109" s="9">
        <f t="shared" si="93"/>
        <v>85.581621455572019</v>
      </c>
      <c r="G109" s="9">
        <f t="shared" si="86"/>
        <v>64.691171870084972</v>
      </c>
      <c r="H109" s="9">
        <f t="shared" si="94"/>
        <v>75.590028290908336</v>
      </c>
      <c r="I109" s="15">
        <f t="shared" si="87"/>
        <v>4420.3884396769572</v>
      </c>
      <c r="J109" s="2">
        <f t="shared" si="88"/>
        <v>64.69117187008483</v>
      </c>
      <c r="K109" s="40">
        <f t="shared" si="89"/>
        <v>779.41569304709935</v>
      </c>
      <c r="L109">
        <f t="shared" si="84"/>
        <v>9.1072788735571848</v>
      </c>
      <c r="M109" s="2">
        <f t="shared" si="90"/>
        <v>83.656015804598169</v>
      </c>
      <c r="N109">
        <f t="shared" si="91"/>
        <v>74.781542628582727</v>
      </c>
      <c r="O109">
        <f t="shared" si="85"/>
        <v>4.6994610894207884</v>
      </c>
      <c r="P109" s="34">
        <f t="shared" si="70"/>
        <v>23.903702271082974</v>
      </c>
    </row>
    <row r="110" spans="4:20">
      <c r="D110" s="14">
        <v>8</v>
      </c>
      <c r="E110" s="9">
        <f t="shared" si="81"/>
        <v>9.8798267247789919</v>
      </c>
      <c r="F110" s="9">
        <f t="shared" si="93"/>
        <v>79.038613798231935</v>
      </c>
      <c r="G110" s="9">
        <f t="shared" si="86"/>
        <v>59.483756050331927</v>
      </c>
      <c r="H110" s="9">
        <f t="shared" si="94"/>
        <v>75.259108417792817</v>
      </c>
      <c r="I110" s="15">
        <f t="shared" si="87"/>
        <v>4298.446802508799</v>
      </c>
      <c r="J110" s="2">
        <f t="shared" si="88"/>
        <v>59.483756050331877</v>
      </c>
      <c r="K110" s="40">
        <f t="shared" si="89"/>
        <v>737.00662104172488</v>
      </c>
      <c r="L110">
        <f t="shared" si="84"/>
        <v>9.3246400161209735</v>
      </c>
      <c r="M110" s="2">
        <f t="shared" si="90"/>
        <v>76.921995573936456</v>
      </c>
      <c r="N110">
        <f t="shared" si="91"/>
        <v>68.761886826216738</v>
      </c>
      <c r="O110">
        <f t="shared" si="85"/>
        <v>4.9342970639083266</v>
      </c>
      <c r="P110" s="34">
        <f t="shared" si="70"/>
        <v>23.968317447265115</v>
      </c>
    </row>
    <row r="111" spans="4:20">
      <c r="D111" s="14">
        <v>7.75</v>
      </c>
      <c r="E111" s="9">
        <f t="shared" si="81"/>
        <v>9.3970863774034363</v>
      </c>
      <c r="F111" s="9">
        <f t="shared" si="93"/>
        <v>72.827419424876638</v>
      </c>
      <c r="G111" s="9">
        <f t="shared" si="86"/>
        <v>54.534805254750893</v>
      </c>
      <c r="H111" s="9">
        <f t="shared" si="94"/>
        <v>74.882243096647073</v>
      </c>
      <c r="I111" s="15">
        <f t="shared" si="87"/>
        <v>4175.7710961690655</v>
      </c>
      <c r="J111" s="2">
        <f t="shared" si="88"/>
        <v>54.534805254751092</v>
      </c>
      <c r="K111" s="40">
        <f t="shared" si="89"/>
        <v>695.53925303157382</v>
      </c>
      <c r="L111">
        <f t="shared" si="84"/>
        <v>9.5505135088445705</v>
      </c>
      <c r="M111" s="2">
        <f t="shared" si="90"/>
        <v>70.522211893982217</v>
      </c>
      <c r="N111">
        <f t="shared" si="91"/>
        <v>63.041010790307041</v>
      </c>
      <c r="O111">
        <f t="shared" si="85"/>
        <v>5.1877782157271604</v>
      </c>
      <c r="P111" s="34">
        <f t="shared" si="70"/>
        <v>24.032754068558475</v>
      </c>
    </row>
    <row r="112" spans="4:20">
      <c r="D112" s="14">
        <v>7.5</v>
      </c>
      <c r="E112" s="9">
        <f t="shared" si="81"/>
        <v>8.9255092306311798</v>
      </c>
      <c r="F112" s="9">
        <f t="shared" si="93"/>
        <v>66.94131922973385</v>
      </c>
      <c r="G112" s="9">
        <f t="shared" si="86"/>
        <v>49.840671502897564</v>
      </c>
      <c r="H112" s="9">
        <f t="shared" si="94"/>
        <v>74.454271407246836</v>
      </c>
      <c r="I112" s="15">
        <f t="shared" si="87"/>
        <v>4052.3479019169358</v>
      </c>
      <c r="J112" s="2">
        <f t="shared" si="88"/>
        <v>49.84067150289733</v>
      </c>
      <c r="K112" s="40">
        <f t="shared" si="89"/>
        <v>655.03080330969203</v>
      </c>
      <c r="L112">
        <f t="shared" si="84"/>
        <v>9.7851493045978373</v>
      </c>
      <c r="M112" s="2">
        <f t="shared" si="90"/>
        <v>64.45194734347136</v>
      </c>
      <c r="N112">
        <f t="shared" si="91"/>
        <v>57.614697537341385</v>
      </c>
      <c r="O112">
        <f t="shared" si="85"/>
        <v>5.4618732377415933</v>
      </c>
      <c r="P112" s="34">
        <f t="shared" si="70"/>
        <v>24.097013607066192</v>
      </c>
    </row>
    <row r="113" spans="4:16">
      <c r="D113" s="14">
        <v>7.25</v>
      </c>
      <c r="E113" s="9">
        <f t="shared" si="81"/>
        <v>8.4653018647383966</v>
      </c>
      <c r="F113" s="9">
        <f t="shared" si="93"/>
        <v>61.373438519353378</v>
      </c>
      <c r="G113" s="9">
        <f t="shared" si="86"/>
        <v>45.397542649759167</v>
      </c>
      <c r="H113" s="9">
        <f t="shared" si="94"/>
        <v>73.969364834338876</v>
      </c>
      <c r="I113" s="15">
        <f t="shared" si="87"/>
        <v>3928.1633871371173</v>
      </c>
      <c r="J113" s="2">
        <f t="shared" si="88"/>
        <v>45.39754264975889</v>
      </c>
      <c r="K113" s="40">
        <f t="shared" si="89"/>
        <v>615.49901710990787</v>
      </c>
      <c r="L113">
        <f t="shared" si="84"/>
        <v>10.028752371692807</v>
      </c>
      <c r="M113" s="2">
        <f t="shared" si="90"/>
        <v>58.70627221014</v>
      </c>
      <c r="N113">
        <f t="shared" si="91"/>
        <v>52.47854031325334</v>
      </c>
      <c r="O113">
        <f t="shared" si="85"/>
        <v>5.7588023178552676</v>
      </c>
      <c r="P113" s="34">
        <f t="shared" si="70"/>
        <v>24.161097514773878</v>
      </c>
    </row>
    <row r="114" spans="4:16">
      <c r="D114" s="14">
        <v>7</v>
      </c>
      <c r="E114" s="9">
        <f t="shared" si="81"/>
        <v>8.0166773111553429</v>
      </c>
      <c r="F114" s="9">
        <f t="shared" si="93"/>
        <v>56.116741178087402</v>
      </c>
      <c r="G114" s="9">
        <f t="shared" si="86"/>
        <v>41.201434240564787</v>
      </c>
      <c r="H114" s="9">
        <f t="shared" si="94"/>
        <v>73.420931749780976</v>
      </c>
      <c r="I114" s="15">
        <f t="shared" si="87"/>
        <v>3803.2032872450382</v>
      </c>
      <c r="J114" s="2">
        <f t="shared" si="88"/>
        <v>41.201434240564666</v>
      </c>
      <c r="K114" s="40">
        <f t="shared" si="89"/>
        <v>576.96219381979665</v>
      </c>
      <c r="L114">
        <f t="shared" si="84"/>
        <v>10.28146292367188</v>
      </c>
      <c r="M114" s="2">
        <f t="shared" si="90"/>
        <v>53.280033957688623</v>
      </c>
      <c r="N114">
        <f t="shared" si="91"/>
        <v>47.627933177762266</v>
      </c>
      <c r="O114">
        <f t="shared" si="85"/>
        <v>6.0810730066636891</v>
      </c>
      <c r="P114" s="34">
        <f t="shared" si="70"/>
        <v>24.225007223932419</v>
      </c>
    </row>
    <row r="115" spans="4:16">
      <c r="D115" s="14">
        <v>6.75</v>
      </c>
      <c r="E115" s="9">
        <f t="shared" si="81"/>
        <v>7.5798553380817557</v>
      </c>
      <c r="F115" s="9">
        <f t="shared" si="93"/>
        <v>51.16402353205185</v>
      </c>
      <c r="G115" s="9">
        <f t="shared" si="86"/>
        <v>37.24818087132391</v>
      </c>
      <c r="H115" s="9">
        <f t="shared" si="94"/>
        <v>72.801508364543849</v>
      </c>
      <c r="I115" s="15">
        <f>$B$92*(D115-(E115*($B$93+$B$94)))</f>
        <v>3677.4528865620455</v>
      </c>
      <c r="J115" s="2">
        <f t="shared" si="88"/>
        <v>37.248180871323655</v>
      </c>
      <c r="K115" s="43">
        <f t="shared" si="89"/>
        <v>539.43921151503991</v>
      </c>
      <c r="L115">
        <f t="shared" si="84"/>
        <v>10.543330533360159</v>
      </c>
      <c r="M115" s="2">
        <f t="shared" si="90"/>
        <v>48.167846053580817</v>
      </c>
      <c r="N115">
        <f t="shared" si="91"/>
        <v>43.058061017350951</v>
      </c>
      <c r="O115">
        <f t="shared" si="85"/>
        <v>6.4315211604470051</v>
      </c>
      <c r="P115" s="34">
        <f t="shared" si="70"/>
        <v>24.288744147431458</v>
      </c>
    </row>
    <row r="116" spans="4:16">
      <c r="D116" s="14">
        <v>6.5</v>
      </c>
      <c r="E116" s="9">
        <f t="shared" si="81"/>
        <v>7.1550627525689032</v>
      </c>
      <c r="F116" s="9">
        <f t="shared" ref="F116:F119" si="95">D116*E116</f>
        <v>46.507907891697869</v>
      </c>
      <c r="G116" s="9">
        <f t="shared" ref="G116:G119" si="96">(D116-($B$93+$B$94)*E116)*(E116-$B$89)</f>
        <v>33.533427018893065</v>
      </c>
      <c r="H116" s="9">
        <f t="shared" ref="H116:H119" si="97">G116/F116*100</f>
        <v>72.10263488304345</v>
      </c>
      <c r="I116" s="15">
        <f t="shared" ref="I116" si="98">$B$92*(D116-(E116*($B$93+$B$94)))</f>
        <v>3550.8969980879865</v>
      </c>
      <c r="J116" s="2">
        <f t="shared" ref="J116:J119" si="99">(($B$87*0.0254)^4)*($B$88*0.0254)*(I116^3)*2*$B$91*0.00000018</f>
        <v>33.533427018893029</v>
      </c>
      <c r="K116" s="2">
        <f t="shared" ref="K116:K119" si="100">$K$86*0.6*((0.6*3.1416*($B$87*0.0254)^2*J116^2)^(1/3))/9.81*1000</f>
        <v>502.94955290827545</v>
      </c>
      <c r="L116">
        <f t="shared" ref="L116:L119" si="101">K116/F116</f>
        <v>10.81428031722014</v>
      </c>
      <c r="M116" s="2">
        <f t="shared" ref="M116:M119" si="102">1.30652287/($B$87*0.0254)*POWER(K116*0.00981,3/2)</f>
        <v>43.364076110856459</v>
      </c>
      <c r="N116">
        <f t="shared" ref="N116:N119" si="103">POWER(I116/$B$90,3)*100</f>
        <v>38.76388894502999</v>
      </c>
      <c r="O116">
        <f t="shared" si="85"/>
        <v>6.8133574345657753</v>
      </c>
      <c r="P116" s="34">
        <f t="shared" si="70"/>
        <v>24.352309679163845</v>
      </c>
    </row>
    <row r="117" spans="4:16" s="2" customFormat="1">
      <c r="D117" s="14">
        <v>6.25</v>
      </c>
      <c r="E117" s="9">
        <f t="shared" si="81"/>
        <v>6.7425337202443032</v>
      </c>
      <c r="F117" s="9">
        <f t="shared" si="95"/>
        <v>42.140835751526893</v>
      </c>
      <c r="G117" s="9">
        <f t="shared" si="96"/>
        <v>30.052617301236996</v>
      </c>
      <c r="H117" s="9">
        <f t="shared" si="97"/>
        <v>71.314715916966833</v>
      </c>
      <c r="I117" s="15">
        <f>$B$92*(D117-(E117*($B$93+$B$94)))</f>
        <v>3423.5199420924414</v>
      </c>
      <c r="J117" s="2">
        <f t="shared" si="99"/>
        <v>30.052617301237113</v>
      </c>
      <c r="K117" s="2">
        <f t="shared" si="100"/>
        <v>467.51333281340197</v>
      </c>
      <c r="L117">
        <f t="shared" si="101"/>
        <v>11.094068840256984</v>
      </c>
      <c r="M117" s="2">
        <f t="shared" si="102"/>
        <v>38.86283329309142</v>
      </c>
      <c r="N117">
        <f t="shared" si="103"/>
        <v>34.740151041415963</v>
      </c>
      <c r="O117">
        <f t="shared" si="85"/>
        <v>7.2302196804191343</v>
      </c>
      <c r="P117" s="34">
        <f t="shared" si="70"/>
        <v>24.415705194381324</v>
      </c>
    </row>
    <row r="118" spans="4:16" s="2" customFormat="1">
      <c r="D118" s="14">
        <v>6</v>
      </c>
      <c r="E118" s="9">
        <f t="shared" si="81"/>
        <v>6.3425101039540923</v>
      </c>
      <c r="F118" s="9">
        <f t="shared" si="95"/>
        <v>38.055060623724557</v>
      </c>
      <c r="G118" s="9">
        <f t="shared" si="96"/>
        <v>26.800986125093655</v>
      </c>
      <c r="H118" s="9">
        <f t="shared" si="97"/>
        <v>70.42686487900427</v>
      </c>
      <c r="I118" s="15">
        <f t="shared" ref="I118:I119" si="104">$B$92*(D118-(E118*($B$93+$B$94)))</f>
        <v>3295.3055234392341</v>
      </c>
      <c r="J118" s="2">
        <f t="shared" si="99"/>
        <v>26.80098612509363</v>
      </c>
      <c r="K118" s="2">
        <f t="shared" si="100"/>
        <v>433.15132723495555</v>
      </c>
      <c r="L118">
        <f t="shared" si="101"/>
        <v>11.382226703507529</v>
      </c>
      <c r="M118" s="2">
        <f t="shared" si="102"/>
        <v>34.657954927176817</v>
      </c>
      <c r="N118">
        <f t="shared" si="103"/>
        <v>30.98133838766578</v>
      </c>
      <c r="O118">
        <f t="shared" si="85"/>
        <v>7.6862313502043822</v>
      </c>
      <c r="P118" s="34">
        <f t="shared" si="70"/>
        <v>24.47893205004166</v>
      </c>
    </row>
    <row r="119" spans="4:16" s="2" customFormat="1">
      <c r="D119" s="16">
        <v>5.75</v>
      </c>
      <c r="E119" s="17">
        <f t="shared" si="81"/>
        <v>5.9552418227098975</v>
      </c>
      <c r="F119" s="17">
        <f t="shared" si="95"/>
        <v>34.242640480581912</v>
      </c>
      <c r="G119" s="17">
        <f t="shared" si="96"/>
        <v>23.773546674459446</v>
      </c>
      <c r="H119" s="17">
        <f t="shared" si="97"/>
        <v>69.426733279931469</v>
      </c>
      <c r="I119" s="18">
        <f t="shared" si="104"/>
        <v>3166.2370075513454</v>
      </c>
      <c r="J119" s="2">
        <f t="shared" si="99"/>
        <v>23.77354667445935</v>
      </c>
      <c r="K119" s="2">
        <f t="shared" si="100"/>
        <v>399.88500420163302</v>
      </c>
      <c r="L119">
        <f t="shared" si="101"/>
        <v>11.677983899296468</v>
      </c>
      <c r="M119" s="2">
        <f t="shared" si="102"/>
        <v>30.742992263672452</v>
      </c>
      <c r="N119">
        <f t="shared" si="103"/>
        <v>27.481686336413436</v>
      </c>
      <c r="O119">
        <f t="shared" si="85"/>
        <v>8.1860655622909029</v>
      </c>
      <c r="P119" s="34">
        <f t="shared" si="70"/>
        <v>24.541991585147564</v>
      </c>
    </row>
    <row r="120" spans="4:16" s="2" customFormat="1">
      <c r="D120" s="9"/>
      <c r="E120" s="9"/>
      <c r="F120" s="9"/>
      <c r="G120" s="9"/>
      <c r="H120" s="9"/>
      <c r="I120" s="9"/>
    </row>
    <row r="121" spans="4:16" s="2" customFormat="1">
      <c r="D121" s="9"/>
      <c r="E121" s="9"/>
      <c r="F121" s="9"/>
      <c r="G121" s="9"/>
      <c r="H121" s="9"/>
      <c r="I121" s="9"/>
    </row>
    <row r="122" spans="4:16" s="2" customFormat="1">
      <c r="D122"/>
      <c r="E122"/>
      <c r="F122"/>
      <c r="G122"/>
      <c r="H122"/>
      <c r="I122"/>
      <c r="J122"/>
      <c r="K122"/>
      <c r="L122"/>
      <c r="M122"/>
      <c r="N122"/>
      <c r="O122" s="186" t="s">
        <v>407</v>
      </c>
      <c r="P122" s="186"/>
    </row>
    <row r="123" spans="4:16" s="2" customFormat="1">
      <c r="K123" s="4" t="s">
        <v>111</v>
      </c>
      <c r="O123" s="19">
        <v>1.25</v>
      </c>
      <c r="P123" s="19" t="s">
        <v>394</v>
      </c>
    </row>
    <row r="124" spans="4:16" s="2" customFormat="1">
      <c r="K124" s="4">
        <v>1.165</v>
      </c>
      <c r="L124"/>
      <c r="M124" s="2" t="s">
        <v>113</v>
      </c>
      <c r="N124" s="2" t="s">
        <v>251</v>
      </c>
      <c r="O124" s="19" t="s">
        <v>116</v>
      </c>
      <c r="P124"/>
    </row>
    <row r="125" spans="4:16" s="2" customFormat="1">
      <c r="D125" s="11" t="s">
        <v>425</v>
      </c>
      <c r="E125" s="12" t="s">
        <v>426</v>
      </c>
      <c r="F125" s="12" t="s">
        <v>427</v>
      </c>
      <c r="G125" s="12" t="s">
        <v>302</v>
      </c>
      <c r="H125" s="12" t="s">
        <v>48</v>
      </c>
      <c r="I125" s="13" t="s">
        <v>43</v>
      </c>
      <c r="J125" s="2" t="s">
        <v>303</v>
      </c>
      <c r="K125" s="2" t="s">
        <v>428</v>
      </c>
      <c r="L125" s="9" t="s">
        <v>112</v>
      </c>
      <c r="M125" s="9" t="s">
        <v>114</v>
      </c>
      <c r="N125" s="9" t="s">
        <v>252</v>
      </c>
      <c r="O125" s="19" t="s">
        <v>118</v>
      </c>
      <c r="P125" t="s">
        <v>383</v>
      </c>
    </row>
    <row r="126" spans="4:16" s="2" customFormat="1">
      <c r="D126" s="35">
        <v>14.8</v>
      </c>
      <c r="E126" s="32">
        <f t="shared" ref="E126:E158" si="105">(0.5+(0.00000036*$B$137*$B$138^3*($B$134*0.0254)*($B$133*0.0254)^4)*($B$139+$B$140)*$D126-(0.25-(0.00000036*$B$137*$B$138^3*($B$134*0.0254)*($B$133*0.0254)^4)*(($B$139+$B$140)^2*$B$135-($B$139+$B$140)*$D126))^(1/2))/((0.00000036*$B$137*$B$138^3*($B$134*0.0254)*($B$133*0.0254)^4)*($B$139+$B$140)^2)</f>
        <v>24.121742403706893</v>
      </c>
      <c r="F126" s="36">
        <f>D126*E126</f>
        <v>357.00178757486202</v>
      </c>
      <c r="G126" s="36">
        <f>(D126-($B$139+$B$140)*E126)*(E126-$B$135)</f>
        <v>278.30776689653703</v>
      </c>
      <c r="H126" s="36">
        <f>G126/F126*100</f>
        <v>77.95696732699885</v>
      </c>
      <c r="I126" s="37">
        <f>$B$138*(D126-(E126*($B$139+$B$140)))</f>
        <v>7560.8081286477864</v>
      </c>
      <c r="J126" s="38">
        <f>(($B$133*0.0254)^4)*($B$134*0.0254)*(I126^3)*2*$B$137*0.00000018</f>
        <v>278.30776689653732</v>
      </c>
      <c r="K126" s="38">
        <f t="shared" ref="K126:K158" si="106">$K$124*0.6*((0.6*3.1416*($B$133*0.0254)^2*J126^2)^(1/3))/9.81*1000</f>
        <v>1883.2165717853011</v>
      </c>
      <c r="L126" s="38">
        <f>K126/F126</f>
        <v>5.2750900340811242</v>
      </c>
      <c r="M126" s="38">
        <f>1.30652287/($B$133*0.0254)*POWER(K126*0.00981,3/2)</f>
        <v>291.74886540979855</v>
      </c>
      <c r="N126" s="38">
        <f>POWER(I126/$B$136,3)*100</f>
        <v>307.3934578378549</v>
      </c>
      <c r="O126" s="38">
        <f t="shared" ref="O126:O158" si="107">0.65*60*O$123/E126</f>
        <v>2.0209982837934781</v>
      </c>
      <c r="P126" s="33">
        <f t="shared" ref="P126:P158" si="108">($N$19*$Q$18+SQRT($N$19^2*$Q$18^2+4*$N$19*($Y$24-(D126*$Q$18))))/(2*$N$19)</f>
        <v>22.141674590863708</v>
      </c>
    </row>
    <row r="127" spans="4:16" s="2" customFormat="1">
      <c r="D127" s="14">
        <v>14</v>
      </c>
      <c r="E127" s="9">
        <f t="shared" si="105"/>
        <v>22.025366199898087</v>
      </c>
      <c r="F127" s="9">
        <f>D127*E127</f>
        <v>308.35512679857322</v>
      </c>
      <c r="G127" s="9">
        <f>(D127-($B$139+$B$140)*E127)*(E127-$B$135)</f>
        <v>240.85487853916072</v>
      </c>
      <c r="H127" s="9">
        <f>G127/F127*100</f>
        <v>78.109574839822372</v>
      </c>
      <c r="I127" s="15">
        <f>$B$138*(D127-(E127*($B$139+$B$140)))</f>
        <v>7205.1814792548248</v>
      </c>
      <c r="J127" s="2">
        <f>(($B$133*0.0254)^4)*($B$134*0.0254)*(I127^3)*2*$B$137*0.00000018</f>
        <v>240.85487853916177</v>
      </c>
      <c r="K127" s="39">
        <f t="shared" si="106"/>
        <v>1710.2266949445343</v>
      </c>
      <c r="L127" s="2">
        <f>K127/F127</f>
        <v>5.5462891527070521</v>
      </c>
      <c r="M127" s="2">
        <f>1.30652287/($B$133*0.0254)*POWER(K127*0.00981,3/2)</f>
        <v>252.48715954211337</v>
      </c>
      <c r="N127" s="2">
        <f>POWER(I127/$B$136,3)*100</f>
        <v>266.02640226994924</v>
      </c>
      <c r="O127" s="2">
        <f t="shared" si="107"/>
        <v>2.2133570700960954</v>
      </c>
      <c r="P127" s="34">
        <f t="shared" si="108"/>
        <v>22.364550567515931</v>
      </c>
    </row>
    <row r="128" spans="4:16" s="2" customFormat="1">
      <c r="D128" s="14">
        <v>13.5</v>
      </c>
      <c r="E128" s="9">
        <f t="shared" si="105"/>
        <v>20.752471571927337</v>
      </c>
      <c r="F128" s="9">
        <f>D128*E128</f>
        <v>280.15836622101904</v>
      </c>
      <c r="G128" s="9">
        <f>(D128-($B$139+$B$140)*E128)*(E128-$B$135)</f>
        <v>219.0101849846032</v>
      </c>
      <c r="H128" s="9">
        <f>G128/F128*100</f>
        <v>78.173708655848046</v>
      </c>
      <c r="I128" s="15">
        <f>$B$138*(D128-(E128*($B$139+$B$140)))</f>
        <v>6980.4145035437459</v>
      </c>
      <c r="J128" s="2">
        <f>(($B$133*0.0254)^4)*($B$134*0.0254)*(I128^3)*2*$B$137*0.00000018</f>
        <v>219.01018498460283</v>
      </c>
      <c r="K128" s="40">
        <f t="shared" si="106"/>
        <v>1605.189304936054</v>
      </c>
      <c r="L128" s="2">
        <f>K128/F128</f>
        <v>5.729578333097888</v>
      </c>
      <c r="M128" s="2">
        <f>1.30652287/($B$133*0.0254)*POWER(K128*0.00981,3/2)</f>
        <v>229.58745885881726</v>
      </c>
      <c r="N128" s="2">
        <f>POWER(I128/$B$136,3)*100</f>
        <v>241.8987397112522</v>
      </c>
      <c r="O128" s="2">
        <f t="shared" si="107"/>
        <v>2.3491177824787863</v>
      </c>
      <c r="P128" s="34">
        <f t="shared" si="108"/>
        <v>22.502693766850005</v>
      </c>
    </row>
    <row r="129" spans="1:20">
      <c r="D129" s="14">
        <v>13</v>
      </c>
      <c r="E129" s="28">
        <f t="shared" si="105"/>
        <v>19.509212183366174</v>
      </c>
      <c r="F129" s="28">
        <f t="shared" ref="F129" si="109">D129*E129</f>
        <v>253.61975838376026</v>
      </c>
      <c r="G129" s="28">
        <f t="shared" ref="G129" si="110">(D129-($B$139+$B$140)*E129)*(E129-$B$135)</f>
        <v>198.3530408926197</v>
      </c>
      <c r="H129" s="28">
        <f t="shared" ref="H129" si="111">G129/F129*100</f>
        <v>78.208828112076858</v>
      </c>
      <c r="I129" s="29">
        <f t="shared" ref="I129" si="112">$B$138*(D129-(E129*($B$139+$B$140)))</f>
        <v>6753.6631522018006</v>
      </c>
      <c r="J129" s="27">
        <f t="shared" ref="J129" si="113">(($B$133*0.0254)^4)*($B$134*0.0254)*(I129^3)*2*$B$137*0.00000018</f>
        <v>198.35304089262002</v>
      </c>
      <c r="K129" s="41">
        <f>$K$124*0.6*((0.6*3.1416*($B$133*0.0254)^2*J129^2)^(1/3))/9.81*1000</f>
        <v>1502.5973712375285</v>
      </c>
      <c r="L129" s="27">
        <f t="shared" ref="L129" si="114">K129/F129</f>
        <v>5.9246069029207886</v>
      </c>
      <c r="M129" s="27">
        <f t="shared" ref="M129" si="115">1.30652287/($B$133*0.0254)*POWER(K129*0.00981,3/2)</f>
        <v>207.93266129909537</v>
      </c>
      <c r="N129" s="27">
        <f t="shared" ref="N129" si="116">POWER(I129/$B$136,3)*100</f>
        <v>219.08273632658913</v>
      </c>
      <c r="O129" s="27">
        <f t="shared" si="107"/>
        <v>2.4988195085378657</v>
      </c>
      <c r="P129" s="34">
        <f t="shared" si="108"/>
        <v>22.639969153826556</v>
      </c>
    </row>
    <row r="130" spans="1:20">
      <c r="D130" s="14">
        <v>12.75</v>
      </c>
      <c r="E130" s="9">
        <f t="shared" si="105"/>
        <v>18.898944006530776</v>
      </c>
      <c r="F130" s="9">
        <f t="shared" ref="F130:F138" si="117">D130*E130</f>
        <v>240.96153608326739</v>
      </c>
      <c r="G130" s="9">
        <f>(D130-($B$139+$B$140)*E130)*(E130-$B$135)</f>
        <v>188.46557868908988</v>
      </c>
      <c r="H130" s="9">
        <f t="shared" ref="H130:H138" si="118">G130/F130*100</f>
        <v>78.213967985314952</v>
      </c>
      <c r="I130" s="15">
        <f>$B$138*(D130-(E130*($B$139+$B$140)))</f>
        <v>6639.5267093226994</v>
      </c>
      <c r="J130" s="2">
        <f>(($B$133*0.0254)^4)*($B$134*0.0254)*(I130^3)*2*$B$137*0.00000018</f>
        <v>188.46557868908999</v>
      </c>
      <c r="K130" s="40">
        <f t="shared" si="106"/>
        <v>1452.2389400748405</v>
      </c>
      <c r="L130">
        <f t="shared" ref="L130:L158" si="119">K130/F130</f>
        <v>6.0268496112715697</v>
      </c>
      <c r="M130" s="2">
        <f>1.30652287/($B$133*0.0254)*POWER(K130*0.00981,3/2)</f>
        <v>197.56767611801507</v>
      </c>
      <c r="N130">
        <f>POWER(I130/$B$136,3)*100</f>
        <v>208.16194446412527</v>
      </c>
      <c r="O130">
        <f t="shared" si="107"/>
        <v>2.5795092034324143</v>
      </c>
      <c r="P130" s="34">
        <f t="shared" si="108"/>
        <v>22.708286484799824</v>
      </c>
    </row>
    <row r="131" spans="1:20">
      <c r="C131" s="2"/>
      <c r="D131" s="14">
        <v>12.5</v>
      </c>
      <c r="E131" s="9">
        <f t="shared" si="105"/>
        <v>18.296387087134455</v>
      </c>
      <c r="F131" s="9">
        <f t="shared" si="117"/>
        <v>228.7048385891807</v>
      </c>
      <c r="G131" s="9">
        <f t="shared" ref="G131:G154" si="120">(D131-($B$139+$B$140)*E131)*(E131-$B$135)</f>
        <v>178.86981104845023</v>
      </c>
      <c r="H131" s="9">
        <f t="shared" si="118"/>
        <v>78.209893656754488</v>
      </c>
      <c r="I131" s="15">
        <f t="shared" ref="I131:I154" si="121">$B$138*(D131-(E131*($B$139+$B$140)))</f>
        <v>6524.8739206454766</v>
      </c>
      <c r="J131" s="2">
        <f t="shared" ref="J131:J158" si="122">(($B$133*0.0254)^4)*($B$134*0.0254)*(I131^3)*2*$B$137*0.00000018</f>
        <v>178.86981104845123</v>
      </c>
      <c r="K131" s="40">
        <f t="shared" si="106"/>
        <v>1402.5168305190616</v>
      </c>
      <c r="L131">
        <f t="shared" si="119"/>
        <v>6.132431824227309</v>
      </c>
      <c r="M131" s="2">
        <f t="shared" ref="M131:M154" si="123">1.30652287/($B$133*0.0254)*POWER(K131*0.00981,3/2)</f>
        <v>187.50847312447024</v>
      </c>
      <c r="N131">
        <f t="shared" ref="N131:N154" si="124">POWER(I131/$B$136,3)*100</f>
        <v>197.56333189733658</v>
      </c>
      <c r="O131">
        <f t="shared" si="107"/>
        <v>2.6644604624854997</v>
      </c>
      <c r="P131" s="34">
        <f t="shared" si="108"/>
        <v>22.776392880556966</v>
      </c>
    </row>
    <row r="132" spans="1:20">
      <c r="C132" s="2"/>
      <c r="D132" s="14">
        <v>12.25</v>
      </c>
      <c r="E132" s="9">
        <f t="shared" si="105"/>
        <v>17.7016470375065</v>
      </c>
      <c r="F132" s="9">
        <f t="shared" si="117"/>
        <v>216.84517620945462</v>
      </c>
      <c r="G132" s="9">
        <f t="shared" si="120"/>
        <v>169.56387020675058</v>
      </c>
      <c r="H132" s="9">
        <f t="shared" si="118"/>
        <v>78.195823015664317</v>
      </c>
      <c r="I132" s="15">
        <f t="shared" si="121"/>
        <v>6409.6977143685654</v>
      </c>
      <c r="J132" s="2">
        <f t="shared" si="122"/>
        <v>169.56387020675163</v>
      </c>
      <c r="K132" s="40">
        <f t="shared" si="106"/>
        <v>1353.4397575440439</v>
      </c>
      <c r="L132">
        <f t="shared" si="119"/>
        <v>6.2415027219085211</v>
      </c>
      <c r="M132" s="2">
        <f t="shared" si="123"/>
        <v>177.75309434933934</v>
      </c>
      <c r="N132">
        <f t="shared" si="124"/>
        <v>187.28483566396335</v>
      </c>
      <c r="O132">
        <f t="shared" si="107"/>
        <v>2.7539810220318941</v>
      </c>
      <c r="P132" s="34">
        <f t="shared" si="108"/>
        <v>22.844290282953885</v>
      </c>
    </row>
    <row r="133" spans="1:20">
      <c r="A133" s="5" t="s">
        <v>249</v>
      </c>
      <c r="B133" s="5">
        <f>B35</f>
        <v>14</v>
      </c>
      <c r="C133" s="2"/>
      <c r="D133" s="14">
        <v>12</v>
      </c>
      <c r="E133" s="9">
        <f t="shared" si="105"/>
        <v>17.114831902969723</v>
      </c>
      <c r="F133" s="9">
        <f t="shared" si="117"/>
        <v>205.37798283563666</v>
      </c>
      <c r="G133" s="9">
        <f t="shared" si="120"/>
        <v>160.54581835958732</v>
      </c>
      <c r="H133" s="9">
        <f t="shared" si="118"/>
        <v>78.170900377413687</v>
      </c>
      <c r="I133" s="15">
        <f t="shared" si="121"/>
        <v>6293.9908557771478</v>
      </c>
      <c r="J133" s="2">
        <f t="shared" si="122"/>
        <v>160.54581835958683</v>
      </c>
      <c r="K133" s="40">
        <f t="shared" si="106"/>
        <v>1305.0166368906946</v>
      </c>
      <c r="L133">
        <f t="shared" si="119"/>
        <v>6.3542187866120745</v>
      </c>
      <c r="M133" s="2">
        <f t="shared" si="123"/>
        <v>168.29950840038825</v>
      </c>
      <c r="N133">
        <f t="shared" si="124"/>
        <v>177.32431544143</v>
      </c>
      <c r="O133">
        <f t="shared" si="107"/>
        <v>2.8484065912175871</v>
      </c>
      <c r="P133" s="34">
        <f t="shared" si="108"/>
        <v>22.911980604233765</v>
      </c>
    </row>
    <row r="134" spans="1:20">
      <c r="A134" s="5" t="s">
        <v>109</v>
      </c>
      <c r="B134" s="5">
        <f>B36</f>
        <v>4.7</v>
      </c>
      <c r="D134" s="14">
        <v>11.75</v>
      </c>
      <c r="E134" s="9">
        <f t="shared" si="105"/>
        <v>16.536052241039435</v>
      </c>
      <c r="F134" s="9">
        <f t="shared" si="117"/>
        <v>194.29861383221336</v>
      </c>
      <c r="G134" s="9">
        <f t="shared" si="120"/>
        <v>151.81364500526968</v>
      </c>
      <c r="H134" s="9">
        <f t="shared" si="118"/>
        <v>78.134188407730178</v>
      </c>
      <c r="I134" s="15">
        <f t="shared" si="121"/>
        <v>6177.7459419399984</v>
      </c>
      <c r="J134" s="2">
        <f t="shared" si="122"/>
        <v>151.81364500526925</v>
      </c>
      <c r="K134" s="40">
        <f t="shared" si="106"/>
        <v>1257.2565916023757</v>
      </c>
      <c r="L134">
        <f t="shared" si="119"/>
        <v>6.4707440099808435</v>
      </c>
      <c r="M134" s="2">
        <f t="shared" si="123"/>
        <v>159.14560767712555</v>
      </c>
      <c r="N134">
        <f t="shared" si="124"/>
        <v>167.67955061235099</v>
      </c>
      <c r="O134">
        <f t="shared" si="107"/>
        <v>2.9481038938067381</v>
      </c>
      <c r="P134" s="34">
        <f t="shared" si="108"/>
        <v>22.979465727655459</v>
      </c>
    </row>
    <row r="135" spans="1:20">
      <c r="A135" s="10" t="s">
        <v>63</v>
      </c>
      <c r="B135" s="5">
        <f>$Q$18</f>
        <v>1.3</v>
      </c>
      <c r="D135" s="14">
        <v>11.5</v>
      </c>
      <c r="E135" s="9">
        <f t="shared" si="105"/>
        <v>15.96542120396906</v>
      </c>
      <c r="F135" s="9">
        <f t="shared" si="117"/>
        <v>183.60234384564419</v>
      </c>
      <c r="G135" s="9">
        <f t="shared" si="120"/>
        <v>143.36526416690577</v>
      </c>
      <c r="H135" s="9">
        <f t="shared" si="118"/>
        <v>78.084659032149389</v>
      </c>
      <c r="I135" s="15">
        <f t="shared" si="121"/>
        <v>6060.9553961822321</v>
      </c>
      <c r="J135" s="2">
        <f t="shared" si="122"/>
        <v>143.36526416690594</v>
      </c>
      <c r="K135" s="40">
        <f t="shared" si="106"/>
        <v>1210.1689588363822</v>
      </c>
      <c r="L135">
        <f t="shared" si="119"/>
        <v>6.5912500542682615</v>
      </c>
      <c r="M135" s="2">
        <f t="shared" si="123"/>
        <v>150.2892054587187</v>
      </c>
      <c r="N135">
        <f t="shared" si="124"/>
        <v>158.34823719629023</v>
      </c>
      <c r="O135">
        <f t="shared" si="107"/>
        <v>3.053474091111394</v>
      </c>
      <c r="P135" s="34">
        <f t="shared" si="108"/>
        <v>23.046747508104808</v>
      </c>
    </row>
    <row r="136" spans="1:20">
      <c r="A136" s="4" t="s">
        <v>34</v>
      </c>
      <c r="B136" s="4">
        <v>5200</v>
      </c>
      <c r="D136" s="14">
        <v>11.25</v>
      </c>
      <c r="E136" s="9">
        <f t="shared" si="105"/>
        <v>15.403054624815029</v>
      </c>
      <c r="F136" s="9">
        <f t="shared" si="117"/>
        <v>173.28436452916907</v>
      </c>
      <c r="G136" s="9">
        <f t="shared" si="120"/>
        <v>135.19851148678924</v>
      </c>
      <c r="H136" s="9">
        <f t="shared" si="118"/>
        <v>78.021183188764383</v>
      </c>
      <c r="I136" s="15">
        <f t="shared" si="121"/>
        <v>5943.6114623223857</v>
      </c>
      <c r="J136" s="2">
        <f t="shared" si="122"/>
        <v>135.19851148678981</v>
      </c>
      <c r="K136" s="40">
        <f t="shared" si="106"/>
        <v>1163.7632969659294</v>
      </c>
      <c r="L136">
        <f t="shared" si="119"/>
        <v>6.7159163501449806</v>
      </c>
      <c r="M136" s="2">
        <f t="shared" si="123"/>
        <v>141.72803285805574</v>
      </c>
      <c r="N136">
        <f t="shared" si="124"/>
        <v>149.32798464049029</v>
      </c>
      <c r="O136">
        <f t="shared" si="107"/>
        <v>3.1649566392799455</v>
      </c>
      <c r="P136" s="34">
        <f t="shared" si="108"/>
        <v>23.113827772689547</v>
      </c>
    </row>
    <row r="137" spans="1:20">
      <c r="A137" s="4" t="s">
        <v>110</v>
      </c>
      <c r="B137" s="4">
        <v>0.93700000000000006</v>
      </c>
      <c r="D137" s="14">
        <v>11</v>
      </c>
      <c r="E137" s="9">
        <f t="shared" si="105"/>
        <v>14.84907110720764</v>
      </c>
      <c r="F137" s="9">
        <f t="shared" si="117"/>
        <v>163.33978217928404</v>
      </c>
      <c r="G137" s="9">
        <f t="shared" si="120"/>
        <v>127.31114118606986</v>
      </c>
      <c r="H137" s="9">
        <f t="shared" si="118"/>
        <v>77.942519261064874</v>
      </c>
      <c r="I137" s="15">
        <f t="shared" si="121"/>
        <v>5825.7061986613771</v>
      </c>
      <c r="J137" s="2">
        <f t="shared" si="122"/>
        <v>127.31114118606975</v>
      </c>
      <c r="K137" s="40">
        <f t="shared" si="106"/>
        <v>1118.049392987904</v>
      </c>
      <c r="L137">
        <f t="shared" si="119"/>
        <v>6.8449301087025889</v>
      </c>
      <c r="M137" s="2">
        <f t="shared" si="123"/>
        <v>133.45973563458125</v>
      </c>
      <c r="N137">
        <f t="shared" si="124"/>
        <v>140.61631246180019</v>
      </c>
      <c r="O137">
        <f t="shared" si="107"/>
        <v>3.2830336421742281</v>
      </c>
      <c r="P137" s="34">
        <f t="shared" si="108"/>
        <v>23.180708321318207</v>
      </c>
    </row>
    <row r="138" spans="1:20">
      <c r="A138" s="4" t="s">
        <v>157</v>
      </c>
      <c r="B138" s="4">
        <v>620</v>
      </c>
      <c r="D138" s="14">
        <v>10.75</v>
      </c>
      <c r="E138" s="9">
        <f t="shared" si="105"/>
        <v>14.303592119023932</v>
      </c>
      <c r="F138" s="9">
        <f t="shared" si="117"/>
        <v>153.76361527950726</v>
      </c>
      <c r="G138" s="9">
        <f t="shared" si="120"/>
        <v>119.70082288221866</v>
      </c>
      <c r="H138" s="9">
        <f t="shared" si="118"/>
        <v>77.847300003079283</v>
      </c>
      <c r="I138" s="15">
        <f t="shared" si="121"/>
        <v>5707.2314717101581</v>
      </c>
      <c r="J138" s="2">
        <f t="shared" si="122"/>
        <v>119.70082288221892</v>
      </c>
      <c r="K138" s="40">
        <f t="shared" si="106"/>
        <v>1073.0372702526429</v>
      </c>
      <c r="L138">
        <f t="shared" si="119"/>
        <v>6.9784862192665367</v>
      </c>
      <c r="M138" s="2">
        <f t="shared" si="123"/>
        <v>125.48187085806092</v>
      </c>
      <c r="N138">
        <f t="shared" si="124"/>
        <v>132.21064673154009</v>
      </c>
      <c r="O138">
        <f t="shared" si="107"/>
        <v>3.408234770282772</v>
      </c>
      <c r="P138" s="34">
        <f t="shared" si="108"/>
        <v>23.247390927263631</v>
      </c>
    </row>
    <row r="139" spans="1:20">
      <c r="A139" s="4" t="s">
        <v>158</v>
      </c>
      <c r="B139" s="4">
        <v>0.108</v>
      </c>
      <c r="C139" s="2"/>
      <c r="D139" s="14">
        <v>10.5</v>
      </c>
      <c r="E139" s="9">
        <f t="shared" si="105"/>
        <v>13.766742090173111</v>
      </c>
      <c r="F139" s="9">
        <f t="shared" ref="F139:F154" si="125">D139*E139</f>
        <v>144.55079194681767</v>
      </c>
      <c r="G139" s="9">
        <f t="shared" si="120"/>
        <v>112.36513825632483</v>
      </c>
      <c r="H139" s="9">
        <f t="shared" ref="H139:H154" si="126">G139/F139*100</f>
        <v>77.734017740743738</v>
      </c>
      <c r="I139" s="15">
        <f t="shared" si="121"/>
        <v>5588.1789496420088</v>
      </c>
      <c r="J139" s="2">
        <f t="shared" si="122"/>
        <v>112.36513825632518</v>
      </c>
      <c r="K139" s="40">
        <f>$K$124*0.6*((0.6*3.1416*($B$133*0.0254)^2*J139^2)^(1/3))/9.81*1000</f>
        <v>1028.7371965329858</v>
      </c>
      <c r="L139">
        <f t="shared" si="119"/>
        <v>7.1167869969987647</v>
      </c>
      <c r="M139" s="2">
        <f t="shared" si="123"/>
        <v>117.79190341491669</v>
      </c>
      <c r="N139">
        <f t="shared" si="124"/>
        <v>124.10831639449367</v>
      </c>
      <c r="O139">
        <f t="shared" si="107"/>
        <v>3.5411428267257521</v>
      </c>
      <c r="P139" s="34">
        <f t="shared" si="108"/>
        <v>23.31387733771157</v>
      </c>
    </row>
    <row r="140" spans="1:20">
      <c r="A140" s="4" t="s">
        <v>250</v>
      </c>
      <c r="B140" s="4">
        <v>0</v>
      </c>
      <c r="D140" s="14">
        <v>10.25</v>
      </c>
      <c r="E140" s="9">
        <f t="shared" si="105"/>
        <v>13.238648514715614</v>
      </c>
      <c r="F140" s="9">
        <f t="shared" si="125"/>
        <v>135.69614727583505</v>
      </c>
      <c r="G140" s="9">
        <f t="shared" si="120"/>
        <v>105.30157756171346</v>
      </c>
      <c r="H140" s="9">
        <f t="shared" si="126"/>
        <v>77.601007600947341</v>
      </c>
      <c r="I140" s="15">
        <f t="shared" si="121"/>
        <v>5468.5400954546421</v>
      </c>
      <c r="J140" s="2">
        <f t="shared" si="122"/>
        <v>105.301577561713</v>
      </c>
      <c r="K140" s="40">
        <f t="shared" si="106"/>
        <v>985.15969245102065</v>
      </c>
      <c r="L140">
        <f t="shared" si="119"/>
        <v>7.2600417346296995</v>
      </c>
      <c r="M140" s="2">
        <f t="shared" si="123"/>
        <v>110.38720234822857</v>
      </c>
      <c r="N140">
        <f t="shared" si="124"/>
        <v>116.30654941264871</v>
      </c>
      <c r="O140">
        <f t="shared" si="107"/>
        <v>3.6824000535863779</v>
      </c>
      <c r="P140" s="34">
        <f t="shared" si="108"/>
        <v>23.380169274294797</v>
      </c>
    </row>
    <row r="141" spans="1:20">
      <c r="D141" s="14">
        <v>10</v>
      </c>
      <c r="E141" s="9">
        <f t="shared" si="105"/>
        <v>12.719442057554044</v>
      </c>
      <c r="F141" s="9">
        <f t="shared" si="125"/>
        <v>127.19442057554045</v>
      </c>
      <c r="G141" s="9">
        <f t="shared" si="120"/>
        <v>98.507535964829756</v>
      </c>
      <c r="H141" s="9">
        <f t="shared" si="126"/>
        <v>77.446428482549962</v>
      </c>
      <c r="I141" s="15">
        <f t="shared" si="121"/>
        <v>5348.3061598261811</v>
      </c>
      <c r="J141" s="2">
        <f t="shared" si="122"/>
        <v>98.50753596482943</v>
      </c>
      <c r="K141" s="40">
        <f t="shared" si="106"/>
        <v>942.31554028208882</v>
      </c>
      <c r="L141">
        <f t="shared" si="119"/>
        <v>7.4084660004599021</v>
      </c>
      <c r="M141" s="2">
        <f t="shared" si="123"/>
        <v>103.26503702190243</v>
      </c>
      <c r="N141">
        <f t="shared" si="124"/>
        <v>108.80246872367296</v>
      </c>
      <c r="O141">
        <f t="shared" si="107"/>
        <v>3.8327152857343689</v>
      </c>
      <c r="P141" s="34">
        <f t="shared" si="108"/>
        <v>23.446268433613309</v>
      </c>
    </row>
    <row r="142" spans="1:20">
      <c r="D142" s="14">
        <v>9.75</v>
      </c>
      <c r="E142" s="9">
        <f t="shared" si="105"/>
        <v>12.209256665949017</v>
      </c>
      <c r="F142" s="9">
        <f t="shared" si="125"/>
        <v>119.04025249300291</v>
      </c>
      <c r="G142" s="9">
        <f t="shared" si="120"/>
        <v>91.980309708719929</v>
      </c>
      <c r="H142" s="9">
        <f t="shared" si="126"/>
        <v>77.268241441378365</v>
      </c>
      <c r="I142" s="15">
        <f t="shared" si="121"/>
        <v>5227.4681736480534</v>
      </c>
      <c r="J142" s="2">
        <f t="shared" si="122"/>
        <v>91.980309708719886</v>
      </c>
      <c r="K142" s="40">
        <f t="shared" si="106"/>
        <v>900.21579315685449</v>
      </c>
      <c r="L142">
        <f t="shared" si="119"/>
        <v>7.5622806093238797</v>
      </c>
      <c r="M142" s="2">
        <f t="shared" si="123"/>
        <v>96.422573098856589</v>
      </c>
      <c r="N142">
        <f t="shared" si="124"/>
        <v>101.59308800343806</v>
      </c>
      <c r="O142">
        <f t="shared" si="107"/>
        <v>3.9928720751658222</v>
      </c>
      <c r="P142" s="34">
        <f t="shared" si="108"/>
        <v>23.512176487740923</v>
      </c>
    </row>
    <row r="143" spans="1:20">
      <c r="D143" s="14">
        <v>9.5</v>
      </c>
      <c r="E143" s="9">
        <f t="shared" si="105"/>
        <v>11.708229686128076</v>
      </c>
      <c r="F143" s="9">
        <f t="shared" si="125"/>
        <v>111.22818201821673</v>
      </c>
      <c r="G143" s="9">
        <f t="shared" si="120"/>
        <v>85.717092088770983</v>
      </c>
      <c r="H143" s="9">
        <f t="shared" si="126"/>
        <v>77.064185113384681</v>
      </c>
      <c r="I143" s="15">
        <f t="shared" si="121"/>
        <v>5106.016940216864</v>
      </c>
      <c r="J143" s="2">
        <f t="shared" si="122"/>
        <v>85.717092088770642</v>
      </c>
      <c r="K143" s="42">
        <f t="shared" si="106"/>
        <v>858.87178468372667</v>
      </c>
      <c r="L143">
        <f t="shared" si="119"/>
        <v>7.7217101736236451</v>
      </c>
      <c r="M143" s="2">
        <f t="shared" si="123"/>
        <v>89.856868322409738</v>
      </c>
      <c r="N143">
        <f t="shared" si="124"/>
        <v>94.675307221190181</v>
      </c>
      <c r="O143">
        <f t="shared" si="107"/>
        <v>4.1637379268156192</v>
      </c>
      <c r="P143" s="34">
        <f t="shared" si="108"/>
        <v>23.577895084718815</v>
      </c>
      <c r="Q143" s="5" t="s">
        <v>331</v>
      </c>
      <c r="R143" s="5" t="s">
        <v>211</v>
      </c>
      <c r="S143" s="5" t="s">
        <v>212</v>
      </c>
      <c r="T143" s="5" t="s">
        <v>108</v>
      </c>
    </row>
    <row r="144" spans="1:20">
      <c r="D144" s="14">
        <v>9.25</v>
      </c>
      <c r="E144" s="9">
        <f t="shared" si="105"/>
        <v>11.216501985275528</v>
      </c>
      <c r="F144" s="9">
        <f t="shared" si="125"/>
        <v>103.75264336379863</v>
      </c>
      <c r="G144" s="9">
        <f t="shared" si="120"/>
        <v>79.714969229676811</v>
      </c>
      <c r="H144" s="9">
        <f t="shared" si="126"/>
        <v>76.831747746574479</v>
      </c>
      <c r="I144" s="15">
        <f t="shared" si="121"/>
        <v>4983.9430270659514</v>
      </c>
      <c r="J144" s="2">
        <f t="shared" si="122"/>
        <v>79.714969229676967</v>
      </c>
      <c r="K144" s="40">
        <f t="shared" si="106"/>
        <v>818.29513901530117</v>
      </c>
      <c r="L144">
        <f t="shared" si="119"/>
        <v>7.8869811166740904</v>
      </c>
      <c r="M144" s="2">
        <f t="shared" si="123"/>
        <v>83.564868089294436</v>
      </c>
      <c r="N144">
        <f t="shared" si="124"/>
        <v>88.045907975173691</v>
      </c>
      <c r="O144">
        <f t="shared" si="107"/>
        <v>4.3462748068869068</v>
      </c>
      <c r="P144" s="34">
        <f t="shared" si="108"/>
        <v>23.643425849036337</v>
      </c>
      <c r="Q144" s="5">
        <v>400</v>
      </c>
      <c r="R144" s="5">
        <v>2.6</v>
      </c>
      <c r="S144" s="5">
        <v>39.6</v>
      </c>
      <c r="T144" s="2">
        <f>S144/R144</f>
        <v>15.23076923076923</v>
      </c>
    </row>
    <row r="145" spans="4:20">
      <c r="D145" s="14">
        <v>9</v>
      </c>
      <c r="E145" s="9">
        <f t="shared" si="105"/>
        <v>10.73421807921053</v>
      </c>
      <c r="F145" s="9">
        <f t="shared" si="125"/>
        <v>96.607962712894775</v>
      </c>
      <c r="G145" s="9">
        <f t="shared" si="120"/>
        <v>73.970915651834503</v>
      </c>
      <c r="H145" s="9">
        <f t="shared" si="126"/>
        <v>76.56813535305119</v>
      </c>
      <c r="I145" s="15">
        <f t="shared" si="121"/>
        <v>4861.2367574160626</v>
      </c>
      <c r="J145" s="2">
        <f t="shared" si="122"/>
        <v>73.970915651834886</v>
      </c>
      <c r="K145" s="40">
        <f t="shared" si="106"/>
        <v>778.49778138412591</v>
      </c>
      <c r="L145">
        <f t="shared" si="119"/>
        <v>8.0583189990012674</v>
      </c>
      <c r="M145" s="2">
        <f t="shared" si="123"/>
        <v>77.543400801924406</v>
      </c>
      <c r="N145">
        <f t="shared" si="124"/>
        <v>81.701548595669991</v>
      </c>
      <c r="O145">
        <f t="shared" si="107"/>
        <v>4.5415511069610597</v>
      </c>
      <c r="P145" s="34">
        <f t="shared" si="108"/>
        <v>23.708770382099555</v>
      </c>
      <c r="Q145" s="5">
        <v>550</v>
      </c>
      <c r="R145" s="5">
        <v>4.0999999999999996</v>
      </c>
      <c r="S145" s="5">
        <v>62.6</v>
      </c>
      <c r="T145" s="2">
        <f t="shared" ref="T145:T149" si="127">S145/R145</f>
        <v>15.26829268292683</v>
      </c>
    </row>
    <row r="146" spans="4:20">
      <c r="D146" s="14">
        <v>8.75</v>
      </c>
      <c r="E146" s="9">
        <f t="shared" si="105"/>
        <v>10.261526266079562</v>
      </c>
      <c r="F146" s="9">
        <f t="shared" si="125"/>
        <v>89.788354828196162</v>
      </c>
      <c r="G146" s="9">
        <f t="shared" si="120"/>
        <v>68.481789614534122</v>
      </c>
      <c r="H146" s="9">
        <f t="shared" si="126"/>
        <v>76.270235428156923</v>
      </c>
      <c r="I146" s="15">
        <f t="shared" si="121"/>
        <v>4737.8882012233125</v>
      </c>
      <c r="J146" s="2">
        <f t="shared" si="122"/>
        <v>68.481789614534449</v>
      </c>
      <c r="K146" s="40">
        <f t="shared" si="106"/>
        <v>739.49194913483598</v>
      </c>
      <c r="L146">
        <f t="shared" si="119"/>
        <v>8.2359449680284591</v>
      </c>
      <c r="M146" s="2">
        <f t="shared" si="123"/>
        <v>71.789172986682971</v>
      </c>
      <c r="N146">
        <f t="shared" si="124"/>
        <v>75.638759001512312</v>
      </c>
      <c r="O146">
        <f t="shared" si="107"/>
        <v>4.750755271284322</v>
      </c>
      <c r="P146" s="34">
        <f t="shared" si="108"/>
        <v>23.773930262687848</v>
      </c>
      <c r="Q146" s="5">
        <v>850</v>
      </c>
      <c r="R146" s="5">
        <v>7.2</v>
      </c>
      <c r="S146" s="5">
        <v>107</v>
      </c>
      <c r="T146" s="2">
        <f t="shared" si="127"/>
        <v>14.861111111111111</v>
      </c>
    </row>
    <row r="147" spans="4:20">
      <c r="D147" s="14">
        <v>8.5</v>
      </c>
      <c r="E147" s="9">
        <f t="shared" si="105"/>
        <v>9.798578766414332</v>
      </c>
      <c r="F147" s="9">
        <f t="shared" si="125"/>
        <v>83.287919514521818</v>
      </c>
      <c r="G147" s="9">
        <f t="shared" si="120"/>
        <v>63.244328222430802</v>
      </c>
      <c r="H147" s="9">
        <f t="shared" si="126"/>
        <v>75.934575615619408</v>
      </c>
      <c r="I147" s="15">
        <f t="shared" si="121"/>
        <v>4613.8871658008966</v>
      </c>
      <c r="J147" s="2">
        <f t="shared" si="122"/>
        <v>63.244328222430873</v>
      </c>
      <c r="K147" s="40">
        <f t="shared" si="106"/>
        <v>701.29020328152262</v>
      </c>
      <c r="L147">
        <f t="shared" si="119"/>
        <v>8.4200710903728115</v>
      </c>
      <c r="M147" s="2">
        <f t="shared" si="123"/>
        <v>66.298764164057872</v>
      </c>
      <c r="N147">
        <f t="shared" si="124"/>
        <v>69.853935295138697</v>
      </c>
      <c r="O147">
        <f t="shared" si="107"/>
        <v>4.9752113201453048</v>
      </c>
      <c r="P147" s="34">
        <f t="shared" si="108"/>
        <v>23.838907047398983</v>
      </c>
      <c r="Q147" s="5">
        <v>1000</v>
      </c>
      <c r="R147" s="5">
        <v>8.6000000000000014</v>
      </c>
      <c r="S147" s="5">
        <v>130</v>
      </c>
      <c r="T147" s="2">
        <f t="shared" si="127"/>
        <v>15.116279069767439</v>
      </c>
    </row>
    <row r="148" spans="4:20">
      <c r="D148" s="14">
        <v>8.25</v>
      </c>
      <c r="E148" s="9">
        <f t="shared" si="105"/>
        <v>9.345531869929081</v>
      </c>
      <c r="F148" s="9">
        <f t="shared" si="125"/>
        <v>77.100637926914914</v>
      </c>
      <c r="G148" s="9">
        <f t="shared" si="120"/>
        <v>58.255142280812059</v>
      </c>
      <c r="H148" s="9">
        <f t="shared" si="126"/>
        <v>75.557276628545097</v>
      </c>
      <c r="I148" s="15">
        <f t="shared" si="121"/>
        <v>4489.2231859895492</v>
      </c>
      <c r="J148" s="2">
        <f t="shared" si="122"/>
        <v>58.255142280812585</v>
      </c>
      <c r="K148" s="40">
        <f t="shared" si="106"/>
        <v>663.90544062123502</v>
      </c>
      <c r="L148">
        <f t="shared" si="119"/>
        <v>8.6108942607007091</v>
      </c>
      <c r="M148" s="2">
        <f t="shared" si="123"/>
        <v>61.068621455439974</v>
      </c>
      <c r="N148">
        <f t="shared" si="124"/>
        <v>64.343334080188782</v>
      </c>
      <c r="O148">
        <f t="shared" si="107"/>
        <v>5.216396528148584</v>
      </c>
      <c r="P148" s="34">
        <f t="shared" si="108"/>
        <v>23.903702271082974</v>
      </c>
      <c r="Q148" s="27">
        <v>1450</v>
      </c>
      <c r="R148" s="27">
        <v>19.2</v>
      </c>
      <c r="S148" s="27">
        <v>249</v>
      </c>
      <c r="T148" s="27">
        <f t="shared" si="127"/>
        <v>12.96875</v>
      </c>
    </row>
    <row r="149" spans="4:20">
      <c r="D149" s="14">
        <v>8</v>
      </c>
      <c r="E149" s="9">
        <f t="shared" si="105"/>
        <v>8.9025460894584629</v>
      </c>
      <c r="F149" s="9">
        <f t="shared" si="125"/>
        <v>71.220368715667703</v>
      </c>
      <c r="G149" s="9">
        <f t="shared" si="120"/>
        <v>53.510710884134994</v>
      </c>
      <c r="H149" s="9">
        <f t="shared" si="126"/>
        <v>75.13399867075276</v>
      </c>
      <c r="I149" s="15">
        <f t="shared" si="121"/>
        <v>4363.8855138498611</v>
      </c>
      <c r="J149" s="2">
        <f t="shared" si="122"/>
        <v>53.510710884134674</v>
      </c>
      <c r="K149" s="40">
        <f t="shared" si="106"/>
        <v>627.35090643666604</v>
      </c>
      <c r="L149">
        <f t="shared" si="119"/>
        <v>8.8085882978397958</v>
      </c>
      <c r="M149" s="2">
        <f t="shared" si="123"/>
        <v>56.095053910305715</v>
      </c>
      <c r="N149">
        <f t="shared" si="124"/>
        <v>59.103066484489688</v>
      </c>
      <c r="O149">
        <f t="shared" si="107"/>
        <v>5.4759615406793625</v>
      </c>
      <c r="P149" s="34">
        <f t="shared" si="108"/>
        <v>23.968317447265115</v>
      </c>
      <c r="Q149" s="5">
        <v>1870</v>
      </c>
      <c r="R149" s="5">
        <v>22.5</v>
      </c>
      <c r="S149" s="5">
        <v>319</v>
      </c>
      <c r="T149" s="2">
        <f t="shared" si="127"/>
        <v>14.177777777777777</v>
      </c>
    </row>
    <row r="150" spans="4:20">
      <c r="D150" s="14">
        <v>7.75</v>
      </c>
      <c r="E150" s="9">
        <f t="shared" si="105"/>
        <v>8.4697863224634453</v>
      </c>
      <c r="F150" s="9">
        <f t="shared" si="125"/>
        <v>65.6408439990917</v>
      </c>
      <c r="G150" s="9">
        <f t="shared" si="120"/>
        <v>49.007375721161175</v>
      </c>
      <c r="H150" s="9">
        <f t="shared" si="126"/>
        <v>74.659880549127777</v>
      </c>
      <c r="I150" s="15">
        <f t="shared" si="121"/>
        <v>4237.8631078478475</v>
      </c>
      <c r="J150" s="2">
        <f t="shared" si="122"/>
        <v>49.007375721161132</v>
      </c>
      <c r="K150" s="40">
        <f t="shared" si="106"/>
        <v>591.64020782346518</v>
      </c>
      <c r="L150">
        <f t="shared" si="119"/>
        <v>9.0132937326590739</v>
      </c>
      <c r="M150" s="2">
        <f t="shared" si="123"/>
        <v>51.374226536321551</v>
      </c>
      <c r="N150">
        <f t="shared" si="124"/>
        <v>54.129091870033932</v>
      </c>
      <c r="O150">
        <f t="shared" si="107"/>
        <v>5.7557532320155413</v>
      </c>
      <c r="P150" s="34">
        <f t="shared" si="108"/>
        <v>24.032754068558475</v>
      </c>
    </row>
    <row r="151" spans="4:20">
      <c r="D151" s="14">
        <v>7.5</v>
      </c>
      <c r="E151" s="9">
        <f t="shared" si="105"/>
        <v>8.0474220205681259</v>
      </c>
      <c r="F151" s="9">
        <f t="shared" si="125"/>
        <v>60.355665154260947</v>
      </c>
      <c r="G151" s="9">
        <f t="shared" si="120"/>
        <v>44.741335078819233</v>
      </c>
      <c r="H151" s="9">
        <f t="shared" si="126"/>
        <v>74.129470637870369</v>
      </c>
      <c r="I151" s="15">
        <f t="shared" si="121"/>
        <v>4111.1446215027581</v>
      </c>
      <c r="J151" s="2">
        <f t="shared" si="122"/>
        <v>44.741335078818999</v>
      </c>
      <c r="K151" s="43">
        <f t="shared" si="106"/>
        <v>556.7873276800691</v>
      </c>
      <c r="L151">
        <f t="shared" si="119"/>
        <v>9.2251046568204611</v>
      </c>
      <c r="M151" s="2">
        <f t="shared" si="123"/>
        <v>46.902154013609284</v>
      </c>
      <c r="N151">
        <f t="shared" si="124"/>
        <v>49.417211210182018</v>
      </c>
      <c r="O151">
        <f t="shared" si="107"/>
        <v>6.0578406196918184</v>
      </c>
      <c r="P151" s="34">
        <f t="shared" si="108"/>
        <v>24.097013607066192</v>
      </c>
    </row>
    <row r="152" spans="4:20">
      <c r="D152" s="14">
        <v>7.25</v>
      </c>
      <c r="E152" s="9">
        <f t="shared" si="105"/>
        <v>7.6356273676173192</v>
      </c>
      <c r="F152" s="9">
        <f t="shared" si="125"/>
        <v>55.358298415225562</v>
      </c>
      <c r="G152" s="9">
        <f t="shared" si="120"/>
        <v>40.708637525551524</v>
      </c>
      <c r="H152" s="9">
        <f t="shared" si="126"/>
        <v>73.536648869169639</v>
      </c>
      <c r="I152" s="15">
        <f t="shared" si="121"/>
        <v>3983.7183914643442</v>
      </c>
      <c r="J152" s="2">
        <f t="shared" si="122"/>
        <v>40.708637525551865</v>
      </c>
      <c r="K152" s="2">
        <f t="shared" si="106"/>
        <v>522.80663940083377</v>
      </c>
      <c r="L152">
        <f t="shared" si="119"/>
        <v>9.4440518290396511</v>
      </c>
      <c r="M152" s="2">
        <f t="shared" si="123"/>
        <v>42.674694073032263</v>
      </c>
      <c r="N152">
        <f t="shared" si="124"/>
        <v>44.963060112868668</v>
      </c>
      <c r="O152">
        <f t="shared" si="107"/>
        <v>6.3845441445648143</v>
      </c>
      <c r="P152" s="34">
        <f t="shared" si="108"/>
        <v>24.161097514773878</v>
      </c>
    </row>
    <row r="153" spans="4:20">
      <c r="D153" s="14">
        <v>7</v>
      </c>
      <c r="E153" s="9">
        <f t="shared" si="105"/>
        <v>7.2345814667876649</v>
      </c>
      <c r="F153" s="9">
        <f t="shared" si="125"/>
        <v>50.642070267513652</v>
      </c>
      <c r="G153" s="9">
        <f t="shared" si="120"/>
        <v>36.905175253495187</v>
      </c>
      <c r="H153" s="9">
        <f t="shared" si="126"/>
        <v>72.874539011825235</v>
      </c>
      <c r="I153" s="15">
        <f t="shared" si="121"/>
        <v>3855.5724249838977</v>
      </c>
      <c r="J153" s="2">
        <f t="shared" si="122"/>
        <v>36.905175253495109</v>
      </c>
      <c r="K153" s="2">
        <f t="shared" si="106"/>
        <v>489.71292231609385</v>
      </c>
      <c r="L153">
        <f t="shared" si="119"/>
        <v>9.6700810162225821</v>
      </c>
      <c r="M153" s="2">
        <f t="shared" si="123"/>
        <v>38.687540516825365</v>
      </c>
      <c r="N153">
        <f t="shared" si="124"/>
        <v>40.762101466975054</v>
      </c>
      <c r="O153">
        <f t="shared" si="107"/>
        <v>6.7384685933526738</v>
      </c>
      <c r="P153" s="34">
        <f t="shared" si="108"/>
        <v>24.225007223932419</v>
      </c>
    </row>
    <row r="154" spans="4:20">
      <c r="D154" s="14">
        <v>6.75</v>
      </c>
      <c r="E154" s="9">
        <f t="shared" si="105"/>
        <v>6.8444685373181677</v>
      </c>
      <c r="F154" s="9">
        <f t="shared" si="125"/>
        <v>46.20016262689763</v>
      </c>
      <c r="G154" s="9">
        <f t="shared" si="120"/>
        <v>33.326677057236566</v>
      </c>
      <c r="H154" s="9">
        <f t="shared" si="126"/>
        <v>72.135410704883213</v>
      </c>
      <c r="I154" s="15">
        <f t="shared" si="121"/>
        <v>3726.6943867411755</v>
      </c>
      <c r="J154" s="2">
        <f t="shared" si="122"/>
        <v>33.326677057236552</v>
      </c>
      <c r="K154" s="2">
        <f t="shared" si="106"/>
        <v>457.52137792615633</v>
      </c>
      <c r="L154">
        <f t="shared" si="119"/>
        <v>9.9030252690017253</v>
      </c>
      <c r="M154" s="2">
        <f t="shared" si="123"/>
        <v>34.936215858259267</v>
      </c>
      <c r="N154">
        <f t="shared" si="124"/>
        <v>36.809617687306122</v>
      </c>
      <c r="O154">
        <f t="shared" si="107"/>
        <v>7.1225398632778951</v>
      </c>
      <c r="P154" s="34">
        <f t="shared" si="108"/>
        <v>24.288744147431458</v>
      </c>
    </row>
    <row r="155" spans="4:20">
      <c r="D155" s="14">
        <v>6.5</v>
      </c>
      <c r="E155" s="9">
        <f t="shared" si="105"/>
        <v>6.4654781214746988</v>
      </c>
      <c r="F155" s="9">
        <f t="shared" ref="F155:F158" si="128">D155*E155</f>
        <v>42.025607789585543</v>
      </c>
      <c r="G155" s="9">
        <f t="shared" ref="G155:G158" si="129">(D155-($B$139+$B$140)*E155)*(E155-$B$135)</f>
        <v>29.968700925199645</v>
      </c>
      <c r="H155" s="9">
        <f t="shared" ref="H155:H158" si="130">G155/F155*100</f>
        <v>71.310571105235169</v>
      </c>
      <c r="I155" s="15">
        <f t="shared" ref="I155:I158" si="131">$B$138*(D155-(E155*($B$139+$B$140)))</f>
        <v>3597.0715849860539</v>
      </c>
      <c r="J155" s="2">
        <f t="shared" si="122"/>
        <v>29.968700925199805</v>
      </c>
      <c r="K155" s="2">
        <f t="shared" si="106"/>
        <v>426.24764697964304</v>
      </c>
      <c r="L155">
        <f t="shared" si="119"/>
        <v>10.142569480821939</v>
      </c>
      <c r="M155" s="2">
        <f t="shared" ref="M155:M158" si="132">1.30652287/($B$133*0.0254)*POWER(K155*0.00981,3/2)</f>
        <v>31.416063555218784</v>
      </c>
      <c r="N155">
        <f t="shared" ref="N155:N158" si="133">POWER(I155/$B$136,3)*100</f>
        <v>33.100702531706119</v>
      </c>
      <c r="O155">
        <f t="shared" si="107"/>
        <v>7.5400456213871934</v>
      </c>
      <c r="P155" s="34">
        <f t="shared" si="108"/>
        <v>24.352309679163845</v>
      </c>
    </row>
    <row r="156" spans="4:20">
      <c r="D156" s="14">
        <v>6.25</v>
      </c>
      <c r="E156" s="9">
        <f t="shared" si="105"/>
        <v>6.0978053024043479</v>
      </c>
      <c r="F156" s="9">
        <f t="shared" si="128"/>
        <v>38.111283140027176</v>
      </c>
      <c r="G156" s="9">
        <f t="shared" si="129"/>
        <v>26.826626217833443</v>
      </c>
      <c r="H156" s="9">
        <f t="shared" si="130"/>
        <v>70.390246686966606</v>
      </c>
      <c r="I156" s="15">
        <f t="shared" si="131"/>
        <v>3466.6909569510044</v>
      </c>
      <c r="J156" s="2">
        <f t="shared" si="122"/>
        <v>26.826626217833212</v>
      </c>
      <c r="K156" s="2">
        <f t="shared" si="106"/>
        <v>395.90782745052735</v>
      </c>
      <c r="L156">
        <f t="shared" si="119"/>
        <v>10.388205141136192</v>
      </c>
      <c r="M156" s="2">
        <f t="shared" si="132"/>
        <v>28.122239810630944</v>
      </c>
      <c r="N156">
        <f t="shared" si="133"/>
        <v>29.630252461797209</v>
      </c>
      <c r="O156">
        <f t="shared" si="107"/>
        <v>7.9946796564295042</v>
      </c>
      <c r="P156" s="34">
        <f t="shared" si="108"/>
        <v>24.415705194381324</v>
      </c>
    </row>
    <row r="157" spans="4:20">
      <c r="D157" s="14">
        <v>6</v>
      </c>
      <c r="E157" s="9">
        <f t="shared" si="105"/>
        <v>5.7416509335890202</v>
      </c>
      <c r="F157" s="9">
        <f t="shared" si="128"/>
        <v>34.44990560153412</v>
      </c>
      <c r="G157" s="9">
        <f t="shared" si="129"/>
        <v>23.895645404746187</v>
      </c>
      <c r="H157" s="9">
        <f t="shared" si="130"/>
        <v>69.363456844079323</v>
      </c>
      <c r="I157" s="15">
        <f t="shared" si="131"/>
        <v>3335.5390534868793</v>
      </c>
      <c r="J157" s="2">
        <f t="shared" si="122"/>
        <v>23.895645404745977</v>
      </c>
      <c r="K157" s="2">
        <f t="shared" si="106"/>
        <v>366.51849347233775</v>
      </c>
      <c r="L157">
        <f t="shared" si="119"/>
        <v>10.639172650041049</v>
      </c>
      <c r="M157" s="2">
        <f t="shared" si="132"/>
        <v>25.049704910539621</v>
      </c>
      <c r="N157">
        <f t="shared" si="133"/>
        <v>26.392957516571229</v>
      </c>
      <c r="O157">
        <f t="shared" si="107"/>
        <v>8.4905893032976678</v>
      </c>
      <c r="P157" s="34">
        <f t="shared" si="108"/>
        <v>24.47893205004166</v>
      </c>
    </row>
    <row r="158" spans="4:20">
      <c r="D158" s="16">
        <v>5.75</v>
      </c>
      <c r="E158" s="17">
        <f t="shared" si="105"/>
        <v>5.3972218806630323</v>
      </c>
      <c r="F158" s="17">
        <f t="shared" si="128"/>
        <v>31.034025813812434</v>
      </c>
      <c r="G158" s="17">
        <f t="shared" si="129"/>
        <v>21.170755330713884</v>
      </c>
      <c r="H158" s="17">
        <f t="shared" si="130"/>
        <v>68.217882712758893</v>
      </c>
      <c r="I158" s="18">
        <f t="shared" si="131"/>
        <v>3203.6020228708035</v>
      </c>
      <c r="J158" s="2">
        <f t="shared" si="122"/>
        <v>21.170755330713806</v>
      </c>
      <c r="K158" s="2">
        <f t="shared" si="106"/>
        <v>338.09671529254655</v>
      </c>
      <c r="L158">
        <f t="shared" si="119"/>
        <v>10.894387899299501</v>
      </c>
      <c r="M158" s="2">
        <f t="shared" si="132"/>
        <v>22.193214068295731</v>
      </c>
      <c r="N158">
        <f t="shared" si="133"/>
        <v>23.383291665613548</v>
      </c>
      <c r="O158">
        <f t="shared" si="107"/>
        <v>9.0324246580745005</v>
      </c>
      <c r="P158" s="34">
        <f t="shared" si="108"/>
        <v>24.541991585147564</v>
      </c>
    </row>
    <row r="162" spans="1:16">
      <c r="H162" s="57" t="s">
        <v>168</v>
      </c>
      <c r="I162" s="58"/>
      <c r="J162" s="58"/>
      <c r="K162" s="58"/>
      <c r="L162" s="58"/>
      <c r="M162" s="59"/>
    </row>
    <row r="163" spans="1:16">
      <c r="O163" s="186" t="s">
        <v>407</v>
      </c>
      <c r="P163" s="186"/>
    </row>
    <row r="164" spans="1:16">
      <c r="D164" s="2"/>
      <c r="E164" s="2"/>
      <c r="F164" s="2"/>
      <c r="G164" s="2"/>
      <c r="H164" s="2"/>
      <c r="I164" s="2"/>
      <c r="J164" s="2"/>
      <c r="K164" s="4" t="s">
        <v>111</v>
      </c>
      <c r="L164" s="2"/>
      <c r="M164" s="2"/>
      <c r="N164" s="2"/>
      <c r="O164" s="30">
        <v>1.25</v>
      </c>
      <c r="P164" s="30" t="s">
        <v>394</v>
      </c>
    </row>
    <row r="165" spans="1:16">
      <c r="D165" s="2"/>
      <c r="E165" s="2"/>
      <c r="F165" s="2"/>
      <c r="G165" s="2"/>
      <c r="H165" s="2"/>
      <c r="I165" s="2"/>
      <c r="J165" s="2"/>
      <c r="K165" s="4">
        <v>1.29</v>
      </c>
      <c r="M165" s="2" t="s">
        <v>113</v>
      </c>
      <c r="N165" s="2" t="s">
        <v>251</v>
      </c>
      <c r="O165" s="30" t="s">
        <v>116</v>
      </c>
    </row>
    <row r="166" spans="1:16">
      <c r="D166" s="11" t="s">
        <v>425</v>
      </c>
      <c r="E166" s="12" t="s">
        <v>426</v>
      </c>
      <c r="F166" s="12" t="s">
        <v>427</v>
      </c>
      <c r="G166" s="12" t="s">
        <v>302</v>
      </c>
      <c r="H166" s="12" t="s">
        <v>48</v>
      </c>
      <c r="I166" s="13" t="s">
        <v>43</v>
      </c>
      <c r="J166" s="2" t="s">
        <v>303</v>
      </c>
      <c r="K166" s="2" t="s">
        <v>428</v>
      </c>
      <c r="L166" s="9" t="s">
        <v>112</v>
      </c>
      <c r="M166" s="9" t="s">
        <v>114</v>
      </c>
      <c r="N166" s="9" t="s">
        <v>252</v>
      </c>
      <c r="O166" s="30" t="s">
        <v>118</v>
      </c>
      <c r="P166" t="s">
        <v>383</v>
      </c>
    </row>
    <row r="167" spans="1:16">
      <c r="D167" s="35">
        <v>11.2</v>
      </c>
      <c r="E167" s="9">
        <f>(0.5+(0.00000036*$B$178*$B$179^3*($B$175*0.0254)*($B$174*0.0254)^4)*($B$180+$B$181)*$D167-(0.25-(0.00000036*$B$178*$B$179^3*($B$175*0.0254)*($B$174*0.0254)^4)*(($B$180+$B$181)^2*$B$176-($B$180+$B$181)*$D167))^(1/2))/((0.00000036*$B$178*$B$179^3*($B$175*0.0254)*($B$174*0.0254)^4)*($B$180+$B$181)^2)</f>
        <v>23.403858432990695</v>
      </c>
      <c r="F167" s="36">
        <f>D167*E167</f>
        <v>262.12321444949578</v>
      </c>
      <c r="G167" s="36">
        <f t="shared" ref="G167:G172" si="134">(D167-($B$180+$B$181)*E167)*(E167-$B$176)</f>
        <v>191.69313250192894</v>
      </c>
      <c r="H167" s="36">
        <f t="shared" ref="H167:H172" si="135">G167/F167*100</f>
        <v>73.130925433108914</v>
      </c>
      <c r="I167" s="37">
        <f t="shared" ref="I167:I172" si="136">$B$179*(D167-(E167*($B$180+$B$181)))</f>
        <v>5376.8776393269427</v>
      </c>
      <c r="J167" s="38">
        <f>(($B$174*0.0254)^4)*($B$175*0.0254)*(I167^3)*2*$B$178*0.00000018</f>
        <v>191.69313250192863</v>
      </c>
      <c r="K167" s="38">
        <f>$K$165*0.6*((0.6*3.1416*($B$174*0.0254)^2*J167^2)^(1/3))/9.81*1000</f>
        <v>1702.9178045797912</v>
      </c>
      <c r="L167" s="38">
        <f t="shared" ref="L167:L172" si="137">K167/F167</f>
        <v>6.4966310143731985</v>
      </c>
      <c r="M167" s="38">
        <f t="shared" ref="M167:M172" si="138">1.30652287/($B$174*0.0254)*POWER(K167*0.00981,3/2)</f>
        <v>234.14564306262267</v>
      </c>
      <c r="N167" s="38">
        <f t="shared" ref="N167:N172" si="139">POWER(I167/$B$177,3)*100</f>
        <v>159.70443078801452</v>
      </c>
      <c r="O167" s="38">
        <f t="shared" ref="O167:O181" si="140">0.65*60*O$164/E167</f>
        <v>2.0829898685116262</v>
      </c>
      <c r="P167" s="33">
        <f t="shared" ref="P167:P172" si="141">($N$19*$Q$18+SQRT($N$19^2*$Q$18^2+4*$N$19*($Y$24-(D167*$Q$18))))/(2*$N$19)</f>
        <v>23.127219802567001</v>
      </c>
    </row>
    <row r="168" spans="1:16">
      <c r="D168" s="56">
        <v>11.1</v>
      </c>
      <c r="E168" s="9">
        <f t="shared" ref="E168:E177" si="142">(0.5+(0.00000036*$B$178*$B$179^3*($B$175*0.0254)*($B$174*0.0254)^4)*($B$180+$B$181)*$D168-(0.25-(0.00000036*$B$178*$B$179^3*($B$175*0.0254)*($B$174*0.0254)^4)*(($B$180+$B$181)^2*$B$176-($B$180+$B$181)*$D168))^(1/2))/((0.00000036*$B$178*$B$179^3*($B$175*0.0254)*($B$174*0.0254)^4)*($B$180+$B$181)^2)</f>
        <v>23.075889205094107</v>
      </c>
      <c r="F168" s="36">
        <f t="shared" ref="F168:F180" si="143">D168*E168</f>
        <v>256.1423701765446</v>
      </c>
      <c r="G168" s="36">
        <f t="shared" si="134"/>
        <v>187.4425854595157</v>
      </c>
      <c r="H168" s="9">
        <f t="shared" si="135"/>
        <v>73.179062616747871</v>
      </c>
      <c r="I168" s="37">
        <f t="shared" si="136"/>
        <v>5336.8384588268982</v>
      </c>
      <c r="J168" s="38">
        <f t="shared" ref="J168:J181" si="144">(($B$174*0.0254)^4)*($B$175*0.0254)*(I168^3)*2*$B$178*0.00000018</f>
        <v>187.44258545951547</v>
      </c>
      <c r="K168" s="63">
        <f t="shared" ref="K168:K181" si="145">$K$165*0.6*((0.6*3.1416*($B$174*0.0254)^2*J168^2)^(1/3))/9.81*1000</f>
        <v>1677.6505129332897</v>
      </c>
      <c r="L168" s="2">
        <f t="shared" si="137"/>
        <v>6.5496798197696817</v>
      </c>
      <c r="M168" s="38">
        <f t="shared" si="138"/>
        <v>228.95376655862884</v>
      </c>
      <c r="N168" s="38">
        <f t="shared" si="139"/>
        <v>156.16319179271855</v>
      </c>
      <c r="O168" s="38">
        <f t="shared" si="140"/>
        <v>2.1125946465906162</v>
      </c>
      <c r="P168" s="34">
        <f t="shared" si="141"/>
        <v>23.153979953701832</v>
      </c>
    </row>
    <row r="169" spans="1:16">
      <c r="D169" s="56">
        <v>11</v>
      </c>
      <c r="E169" s="9">
        <f t="shared" si="142"/>
        <v>22.74950937011462</v>
      </c>
      <c r="F169" s="36">
        <f t="shared" si="143"/>
        <v>250.24460307126083</v>
      </c>
      <c r="G169" s="36">
        <f t="shared" si="134"/>
        <v>183.24429511608417</v>
      </c>
      <c r="H169" s="36">
        <f t="shared" si="135"/>
        <v>73.2260727572625</v>
      </c>
      <c r="I169" s="37">
        <f t="shared" si="136"/>
        <v>5296.6928525771254</v>
      </c>
      <c r="J169" s="38">
        <f t="shared" si="144"/>
        <v>183.24429511608409</v>
      </c>
      <c r="K169" s="64">
        <f t="shared" si="145"/>
        <v>1652.5056707453377</v>
      </c>
      <c r="L169" s="38">
        <f t="shared" si="137"/>
        <v>6.6035616771114238</v>
      </c>
      <c r="M169" s="38">
        <f t="shared" si="138"/>
        <v>223.82571956291039</v>
      </c>
      <c r="N169" s="38">
        <f t="shared" si="139"/>
        <v>152.66548918423422</v>
      </c>
      <c r="O169" s="38">
        <f t="shared" si="140"/>
        <v>2.1429033570298217</v>
      </c>
      <c r="P169" s="34">
        <f t="shared" si="141"/>
        <v>23.180708321318207</v>
      </c>
    </row>
    <row r="170" spans="1:16">
      <c r="D170" s="56">
        <v>10.5</v>
      </c>
      <c r="E170" s="9">
        <f t="shared" si="142"/>
        <v>21.141903110892315</v>
      </c>
      <c r="F170" s="36">
        <f t="shared" si="143"/>
        <v>221.98998266436931</v>
      </c>
      <c r="G170" s="36">
        <f t="shared" si="134"/>
        <v>163.03445860889988</v>
      </c>
      <c r="H170" s="9">
        <f t="shared" si="135"/>
        <v>73.442259264191506</v>
      </c>
      <c r="I170" s="37">
        <f t="shared" si="136"/>
        <v>5094.3381676946501</v>
      </c>
      <c r="J170" s="38">
        <f t="shared" si="144"/>
        <v>163.03445860889983</v>
      </c>
      <c r="K170" s="64">
        <f t="shared" si="145"/>
        <v>1528.6530261999139</v>
      </c>
      <c r="L170" s="2">
        <f t="shared" si="137"/>
        <v>6.8861351663381685</v>
      </c>
      <c r="M170" s="38">
        <f t="shared" si="138"/>
        <v>199.14019690801038</v>
      </c>
      <c r="N170" s="38">
        <f t="shared" si="139"/>
        <v>135.82815967966141</v>
      </c>
      <c r="O170" s="38">
        <f t="shared" si="140"/>
        <v>2.3058472902982885</v>
      </c>
      <c r="P170" s="34">
        <f t="shared" si="141"/>
        <v>23.31387733771157</v>
      </c>
    </row>
    <row r="171" spans="1:16">
      <c r="D171" s="56">
        <v>10</v>
      </c>
      <c r="E171" s="9">
        <f t="shared" si="142"/>
        <v>19.576018188450668</v>
      </c>
      <c r="F171" s="36">
        <f t="shared" si="143"/>
        <v>195.76018188450666</v>
      </c>
      <c r="G171" s="36">
        <f t="shared" si="134"/>
        <v>144.1208421217936</v>
      </c>
      <c r="H171" s="36">
        <f t="shared" si="135"/>
        <v>73.621121892306519</v>
      </c>
      <c r="I171" s="37">
        <f t="shared" si="136"/>
        <v>4889.1898221013435</v>
      </c>
      <c r="J171" s="38">
        <f t="shared" si="144"/>
        <v>144.12084212179354</v>
      </c>
      <c r="K171" s="64">
        <f t="shared" si="145"/>
        <v>1408.0146624304014</v>
      </c>
      <c r="L171" s="38">
        <f t="shared" si="137"/>
        <v>7.1925488057683395</v>
      </c>
      <c r="M171" s="38">
        <f t="shared" si="138"/>
        <v>176.03795616931944</v>
      </c>
      <c r="N171" s="38">
        <f t="shared" si="139"/>
        <v>120.07074408635255</v>
      </c>
      <c r="O171" s="38">
        <f t="shared" si="140"/>
        <v>2.4902919240625354</v>
      </c>
      <c r="P171" s="34">
        <f t="shared" si="141"/>
        <v>23.446268433613309</v>
      </c>
    </row>
    <row r="172" spans="1:16">
      <c r="D172" s="56">
        <v>9.5</v>
      </c>
      <c r="E172" s="9">
        <f t="shared" si="142"/>
        <v>18.053631833616748</v>
      </c>
      <c r="F172" s="36">
        <f t="shared" si="143"/>
        <v>171.50950241935911</v>
      </c>
      <c r="G172" s="36">
        <f t="shared" si="134"/>
        <v>126.49340111135065</v>
      </c>
      <c r="H172" s="9">
        <f t="shared" si="135"/>
        <v>73.752998712608203</v>
      </c>
      <c r="I172" s="37">
        <f t="shared" si="136"/>
        <v>4681.1288124210223</v>
      </c>
      <c r="J172" s="38">
        <f t="shared" si="144"/>
        <v>126.49340111135061</v>
      </c>
      <c r="K172" s="64">
        <f t="shared" si="145"/>
        <v>1290.7275002385454</v>
      </c>
      <c r="L172" s="2">
        <f t="shared" si="137"/>
        <v>7.5256908919400765</v>
      </c>
      <c r="M172" s="38">
        <f t="shared" si="138"/>
        <v>154.5067283310083</v>
      </c>
      <c r="N172" s="38">
        <f t="shared" si="139"/>
        <v>105.38487403937123</v>
      </c>
      <c r="O172" s="38">
        <f t="shared" si="140"/>
        <v>2.7002877010721527</v>
      </c>
      <c r="P172" s="34">
        <f t="shared" si="141"/>
        <v>23.577895084718815</v>
      </c>
    </row>
    <row r="173" spans="1:16">
      <c r="D173" s="56">
        <v>9</v>
      </c>
      <c r="E173" s="9">
        <f t="shared" si="142"/>
        <v>16.57665115545171</v>
      </c>
      <c r="F173" s="36">
        <f t="shared" si="143"/>
        <v>149.1898603990654</v>
      </c>
      <c r="G173" s="36">
        <f t="shared" ref="G173:G180" si="146">(D173-($B$180+$B$181)*E173)*(E173-$B$176)</f>
        <v>110.14040296010064</v>
      </c>
      <c r="H173" s="9">
        <f t="shared" ref="H173:H180" si="147">G173/F173*100</f>
        <v>73.82566259227535</v>
      </c>
      <c r="I173" s="37">
        <f t="shared" ref="I173:I180" si="148">$B$179*(D173-(E173*($B$180+$B$181)))</f>
        <v>4470.0274386309529</v>
      </c>
      <c r="J173" s="38">
        <f t="shared" si="144"/>
        <v>110.14040296010069</v>
      </c>
      <c r="K173" s="64">
        <f t="shared" si="145"/>
        <v>1176.9384664600093</v>
      </c>
      <c r="L173" s="2">
        <f t="shared" ref="L173:L180" si="149">K173/F173</f>
        <v>7.8888636487214132</v>
      </c>
      <c r="M173" s="38">
        <f t="shared" ref="M173:M180" si="150">1.30652287/($B$174*0.0254)*POWER(K173*0.00981,3/2)</f>
        <v>134.5321824609951</v>
      </c>
      <c r="N173" s="38">
        <f t="shared" ref="N173:N180" si="151">POWER(I173/$B$177,3)*100</f>
        <v>91.760774796292992</v>
      </c>
      <c r="O173" s="38">
        <f t="shared" si="140"/>
        <v>2.9408835079434699</v>
      </c>
      <c r="P173" s="34">
        <f t="shared" ref="P173:P180" si="152">($N$19*$Q$18+SQRT($N$19^2*$Q$18^2+4*$N$19*($Y$24-(D173*$Q$18))))/(2*$N$19)</f>
        <v>23.708770382099555</v>
      </c>
    </row>
    <row r="174" spans="1:16">
      <c r="A174" s="5" t="s">
        <v>249</v>
      </c>
      <c r="B174" s="5">
        <v>15</v>
      </c>
      <c r="D174" s="56">
        <v>8.5</v>
      </c>
      <c r="E174" s="9">
        <f t="shared" si="142"/>
        <v>15.147126830843275</v>
      </c>
      <c r="F174" s="36">
        <f t="shared" si="143"/>
        <v>128.75057806216785</v>
      </c>
      <c r="G174" s="36">
        <f t="shared" si="146"/>
        <v>95.048205936415798</v>
      </c>
      <c r="H174" s="36">
        <f t="shared" si="147"/>
        <v>73.823517817932668</v>
      </c>
      <c r="I174" s="37">
        <f t="shared" si="148"/>
        <v>4255.7483874067348</v>
      </c>
      <c r="J174" s="38">
        <f t="shared" si="144"/>
        <v>95.04820593641557</v>
      </c>
      <c r="K174" s="64">
        <f t="shared" si="145"/>
        <v>1066.8055486332139</v>
      </c>
      <c r="L174" s="38">
        <f t="shared" si="149"/>
        <v>8.285831137147218</v>
      </c>
      <c r="M174" s="38">
        <f t="shared" si="150"/>
        <v>116.09765571913073</v>
      </c>
      <c r="N174" s="38">
        <f t="shared" si="151"/>
        <v>79.187081083066474</v>
      </c>
      <c r="O174" s="38">
        <f t="shared" si="140"/>
        <v>3.2184321518146275</v>
      </c>
      <c r="P174" s="34">
        <f t="shared" si="152"/>
        <v>23.838907047398983</v>
      </c>
    </row>
    <row r="175" spans="1:16">
      <c r="A175" s="5" t="s">
        <v>109</v>
      </c>
      <c r="B175" s="5">
        <v>5</v>
      </c>
      <c r="D175" s="56">
        <v>8</v>
      </c>
      <c r="E175" s="9">
        <f t="shared" si="142"/>
        <v>13.767268707125883</v>
      </c>
      <c r="F175" s="36">
        <f t="shared" si="143"/>
        <v>110.13814965700706</v>
      </c>
      <c r="G175" s="36">
        <f t="shared" si="146"/>
        <v>81.201003916833116</v>
      </c>
      <c r="H175" s="9">
        <f t="shared" si="147"/>
        <v>73.726500916993615</v>
      </c>
      <c r="I175" s="37">
        <f t="shared" si="148"/>
        <v>4038.1436873708508</v>
      </c>
      <c r="J175" s="38">
        <f t="shared" si="144"/>
        <v>81.201003916832789</v>
      </c>
      <c r="K175" s="64">
        <f t="shared" si="145"/>
        <v>960.49899705101052</v>
      </c>
      <c r="L175" s="2">
        <f t="shared" si="149"/>
        <v>8.720856488348522</v>
      </c>
      <c r="M175" s="38">
        <f t="shared" si="150"/>
        <v>99.18384154552885</v>
      </c>
      <c r="N175" s="38">
        <f t="shared" si="151"/>
        <v>67.650624415679786</v>
      </c>
      <c r="O175" s="38">
        <f t="shared" si="140"/>
        <v>3.5410073731449141</v>
      </c>
      <c r="P175" s="34">
        <f t="shared" si="152"/>
        <v>23.968317447265115</v>
      </c>
    </row>
    <row r="176" spans="1:16">
      <c r="A176" s="10" t="s">
        <v>63</v>
      </c>
      <c r="B176" s="5">
        <f>$Q$18</f>
        <v>1.3</v>
      </c>
      <c r="D176" s="56">
        <v>7.5</v>
      </c>
      <c r="E176" s="9">
        <f t="shared" si="142"/>
        <v>12.43946365498398</v>
      </c>
      <c r="F176" s="36">
        <f t="shared" si="143"/>
        <v>93.295977412379855</v>
      </c>
      <c r="G176" s="36">
        <f t="shared" si="146"/>
        <v>68.580530458983517</v>
      </c>
      <c r="H176" s="9">
        <f t="shared" si="147"/>
        <v>73.508560991701728</v>
      </c>
      <c r="I176" s="37">
        <f t="shared" si="148"/>
        <v>3817.053513662273</v>
      </c>
      <c r="J176" s="38">
        <f t="shared" si="144"/>
        <v>68.580530458983489</v>
      </c>
      <c r="K176" s="65">
        <f t="shared" si="145"/>
        <v>858.20270017785742</v>
      </c>
      <c r="L176" s="2">
        <f t="shared" si="149"/>
        <v>9.1987106409153583</v>
      </c>
      <c r="M176" s="38">
        <f t="shared" si="150"/>
        <v>83.768428197253826</v>
      </c>
      <c r="N176" s="38">
        <f t="shared" si="151"/>
        <v>57.136186555780014</v>
      </c>
      <c r="O176" s="38">
        <f t="shared" si="140"/>
        <v>3.9189792544204978</v>
      </c>
      <c r="P176" s="34">
        <f t="shared" si="152"/>
        <v>24.097013607066192</v>
      </c>
    </row>
    <row r="177" spans="1:16">
      <c r="A177" s="4" t="s">
        <v>14</v>
      </c>
      <c r="B177" s="4">
        <v>4600</v>
      </c>
      <c r="D177" s="56">
        <v>7</v>
      </c>
      <c r="E177" s="9">
        <f t="shared" si="142"/>
        <v>11.166296081495938</v>
      </c>
      <c r="F177" s="36">
        <f t="shared" si="143"/>
        <v>78.164072570471561</v>
      </c>
      <c r="G177" s="36">
        <f t="shared" si="146"/>
        <v>57.165714376913385</v>
      </c>
      <c r="H177" s="36">
        <f t="shared" si="147"/>
        <v>73.135537206526223</v>
      </c>
      <c r="I177" s="37">
        <f t="shared" si="148"/>
        <v>3592.304814383032</v>
      </c>
      <c r="J177" s="38">
        <f t="shared" si="144"/>
        <v>57.1657143769133</v>
      </c>
      <c r="K177" s="64">
        <f t="shared" si="145"/>
        <v>760.1157650086335</v>
      </c>
      <c r="L177" s="38">
        <f t="shared" si="149"/>
        <v>9.724618229472684</v>
      </c>
      <c r="M177" s="38">
        <f t="shared" si="150"/>
        <v>69.825678047083443</v>
      </c>
      <c r="N177" s="38">
        <f t="shared" si="151"/>
        <v>47.626212561700939</v>
      </c>
      <c r="O177" s="38">
        <f t="shared" si="140"/>
        <v>4.3658165289728741</v>
      </c>
      <c r="P177" s="34">
        <f t="shared" si="152"/>
        <v>24.225007223932419</v>
      </c>
    </row>
    <row r="178" spans="1:16">
      <c r="A178" s="4" t="s">
        <v>110</v>
      </c>
      <c r="B178" s="4">
        <v>1.28</v>
      </c>
      <c r="D178" s="56">
        <v>6.5</v>
      </c>
      <c r="E178" s="9">
        <f>(0.5+(0.00000036*$B$178*$B$179^3*($B$175*0.0254)*($B$174*0.0254)^4)*($B$180+$B$181)*$D178-(0.25-(0.00000036*$B$178*$B$179^3*($B$175*0.0254)*($B$174*0.0254)^4)*(($B$180+$B$181)^2*$B$176-($B$180+$B$181)*$D178))^(1/2))/((0.00000036*$B$178*$B$179^3*($B$175*0.0254)*($B$174*0.0254)^4)*($B$180+$B$181)^2)</f>
        <v>9.9505716044340602</v>
      </c>
      <c r="F178" s="36">
        <f t="shared" si="143"/>
        <v>64.678715428821391</v>
      </c>
      <c r="G178" s="36">
        <f t="shared" si="146"/>
        <v>46.932277154547229</v>
      </c>
      <c r="H178" s="9">
        <f t="shared" si="147"/>
        <v>72.56216646138553</v>
      </c>
      <c r="I178" s="37">
        <f t="shared" si="148"/>
        <v>3363.7097253670954</v>
      </c>
      <c r="J178" s="38">
        <f t="shared" si="144"/>
        <v>46.932277154546924</v>
      </c>
      <c r="K178" s="64">
        <f t="shared" si="145"/>
        <v>666.45434097588418</v>
      </c>
      <c r="L178" s="2">
        <f t="shared" si="149"/>
        <v>10.304075097306375</v>
      </c>
      <c r="M178" s="38">
        <f t="shared" si="150"/>
        <v>57.325935839845826</v>
      </c>
      <c r="N178" s="38">
        <f t="shared" si="151"/>
        <v>39.100475383367439</v>
      </c>
      <c r="O178" s="38">
        <f t="shared" si="140"/>
        <v>4.8992160388330435</v>
      </c>
      <c r="P178" s="34">
        <f t="shared" si="152"/>
        <v>24.352309679163845</v>
      </c>
    </row>
    <row r="179" spans="1:16">
      <c r="A179" s="4" t="s">
        <v>157</v>
      </c>
      <c r="B179" s="4">
        <v>620</v>
      </c>
      <c r="D179" s="56">
        <v>6</v>
      </c>
      <c r="E179" s="9">
        <f>(0.5+(0.00000036*$B$178*$B$179^3*($B$175*0.0254)*($B$174*0.0254)^4)*($B$180+$B$181)*$D179-(0.25-(0.00000036*$B$178*$B$179^3*($B$175*0.0254)*($B$174*0.0254)^4)*(($B$180+$B$181)^2*$B$176-($B$180+$B$181)*$D179))^(1/2))/((0.00000036*$B$178*$B$179^3*($B$175*0.0254)*($B$174*0.0254)^4)*($B$180+$B$181)^2)</f>
        <v>8.7953445044748531</v>
      </c>
      <c r="F179" s="36">
        <f t="shared" si="143"/>
        <v>52.772067026849115</v>
      </c>
      <c r="G179" s="36">
        <f t="shared" si="146"/>
        <v>37.852260220418621</v>
      </c>
      <c r="H179" s="36">
        <f t="shared" si="147"/>
        <v>71.727833213658911</v>
      </c>
      <c r="I179" s="37">
        <f t="shared" si="148"/>
        <v>3131.0637319803641</v>
      </c>
      <c r="J179" s="38">
        <f t="shared" si="144"/>
        <v>37.852260220418657</v>
      </c>
      <c r="K179" s="66">
        <f t="shared" si="145"/>
        <v>577.45373491349153</v>
      </c>
      <c r="L179" s="38">
        <f t="shared" si="149"/>
        <v>10.94241267107649</v>
      </c>
      <c r="M179" s="38">
        <f t="shared" si="150"/>
        <v>46.235051277042949</v>
      </c>
      <c r="N179" s="38">
        <f t="shared" si="151"/>
        <v>31.535682022833782</v>
      </c>
      <c r="O179" s="38">
        <f t="shared" si="140"/>
        <v>5.5427050043573862</v>
      </c>
      <c r="P179" s="34">
        <f t="shared" si="152"/>
        <v>24.47893205004166</v>
      </c>
    </row>
    <row r="180" spans="1:16">
      <c r="A180" s="4" t="s">
        <v>158</v>
      </c>
      <c r="B180" s="4">
        <v>0.108</v>
      </c>
      <c r="D180" s="56">
        <v>5.5</v>
      </c>
      <c r="E180" s="9">
        <f>(0.5+(0.00000036*$B$178*$B$179^3*($B$175*0.0254)*($B$174*0.0254)^4)*($B$180+$B$181)*$D180-(0.25-(0.00000036*$B$178*$B$179^3*($B$175*0.0254)*($B$174*0.0254)^4)*(($B$180+$B$181)^2*$B$176-($B$180+$B$181)*$D180))^(1/2))/((0.00000036*$B$178*$B$179^3*($B$175*0.0254)*($B$174*0.0254)^4)*($B$180+$B$181)^2)</f>
        <v>7.7039497193844131</v>
      </c>
      <c r="F180" s="36">
        <f t="shared" si="143"/>
        <v>42.371723456614269</v>
      </c>
      <c r="G180" s="36">
        <f t="shared" si="146"/>
        <v>29.893467139105102</v>
      </c>
      <c r="H180" s="9">
        <f t="shared" si="147"/>
        <v>70.550510341440216</v>
      </c>
      <c r="I180" s="37">
        <f t="shared" si="148"/>
        <v>2894.1435267900197</v>
      </c>
      <c r="J180" s="38">
        <f t="shared" si="144"/>
        <v>29.893467139105088</v>
      </c>
      <c r="K180" s="38">
        <f t="shared" si="145"/>
        <v>493.37087594158851</v>
      </c>
      <c r="L180" s="2">
        <f t="shared" si="149"/>
        <v>11.643870857572418</v>
      </c>
      <c r="M180" s="38">
        <f t="shared" si="150"/>
        <v>36.513697675563407</v>
      </c>
      <c r="N180" s="38">
        <f t="shared" si="151"/>
        <v>24.905008809759842</v>
      </c>
      <c r="O180" s="38">
        <f t="shared" si="140"/>
        <v>6.3279229195041253</v>
      </c>
      <c r="P180" s="34">
        <f t="shared" si="152"/>
        <v>24.604885121077523</v>
      </c>
    </row>
    <row r="181" spans="1:16">
      <c r="A181" s="4" t="s">
        <v>250</v>
      </c>
      <c r="B181" s="4">
        <v>0</v>
      </c>
      <c r="D181" s="60">
        <v>5</v>
      </c>
      <c r="E181" s="17">
        <f>(0.5+(0.00000036*$B$178*$B$179^3*($B$175*0.0254)*($B$174*0.0254)^4)*($B$180+$B$181)*$D181-(0.25-(0.00000036*$B$178*$B$179^3*($B$175*0.0254)*($B$174*0.0254)^4)*(($B$180+$B$181)^2*$B$176-($B$180+$B$181)*$D181))^(1/2))/((0.00000036*$B$178*$B$179^3*($B$175*0.0254)*($B$174*0.0254)^4)*($B$180+$B$181)^2)</f>
        <v>6.6800403338734471</v>
      </c>
      <c r="F181" s="17">
        <f>D181*E181</f>
        <v>33.400201669367235</v>
      </c>
      <c r="G181" s="61">
        <f>(D181-($B$180+$B$181)*E181)*(E181-$B$176)</f>
        <v>23.018801935128053</v>
      </c>
      <c r="H181" s="17">
        <f>G181/F181*100</f>
        <v>68.918152539897946</v>
      </c>
      <c r="I181" s="62">
        <f>$B$179*(D181-(E181*($B$180+$B$181)))</f>
        <v>2652.7044992438341</v>
      </c>
      <c r="J181" s="38">
        <f t="shared" si="144"/>
        <v>23.018801935127978</v>
      </c>
      <c r="K181" s="38">
        <f t="shared" si="145"/>
        <v>414.48720374702822</v>
      </c>
      <c r="L181" s="2">
        <f>K181/F181</f>
        <v>12.40972158941101</v>
      </c>
      <c r="M181" s="38">
        <f>1.30652287/($B$174*0.0254)*POWER(K181*0.00981,3/2)</f>
        <v>28.116563756280925</v>
      </c>
      <c r="N181" s="38">
        <f>POWER(I181/$B$177,3)*100</f>
        <v>19.17755014220279</v>
      </c>
      <c r="O181" s="38">
        <f t="shared" si="140"/>
        <v>7.2978601271007779</v>
      </c>
      <c r="P181" s="34">
        <f>($N$19*$Q$18+SQRT($N$19^2*$Q$18^2+4*$N$19*($Y$24-(D181*$Q$18))))/(2*$N$19)</f>
        <v>24.730179394733334</v>
      </c>
    </row>
    <row r="185" spans="1:16">
      <c r="H185" s="57" t="s">
        <v>174</v>
      </c>
      <c r="I185" s="58"/>
      <c r="J185" s="58"/>
      <c r="K185" s="58"/>
      <c r="L185" s="58"/>
      <c r="M185" s="59"/>
    </row>
    <row r="186" spans="1:16">
      <c r="O186" s="186" t="s">
        <v>407</v>
      </c>
      <c r="P186" s="186"/>
    </row>
    <row r="187" spans="1:16">
      <c r="D187" s="2"/>
      <c r="E187" s="2"/>
      <c r="F187" s="2"/>
      <c r="G187" s="2"/>
      <c r="H187" s="2"/>
      <c r="I187" s="2"/>
      <c r="J187" s="2"/>
      <c r="K187" s="4" t="s">
        <v>111</v>
      </c>
      <c r="L187" s="2"/>
      <c r="M187" s="2"/>
      <c r="N187" s="2"/>
      <c r="O187" s="30">
        <v>1.25</v>
      </c>
      <c r="P187" s="30" t="s">
        <v>394</v>
      </c>
    </row>
    <row r="188" spans="1:16">
      <c r="D188" s="2"/>
      <c r="E188" s="2"/>
      <c r="F188" s="2"/>
      <c r="G188" s="2"/>
      <c r="H188" s="2"/>
      <c r="I188" s="2"/>
      <c r="J188" s="2"/>
      <c r="K188" s="4">
        <v>1.29</v>
      </c>
      <c r="M188" s="2" t="s">
        <v>113</v>
      </c>
      <c r="N188" s="2" t="s">
        <v>251</v>
      </c>
      <c r="O188" s="30" t="s">
        <v>116</v>
      </c>
    </row>
    <row r="189" spans="1:16">
      <c r="D189" s="11" t="s">
        <v>425</v>
      </c>
      <c r="E189" s="12" t="s">
        <v>426</v>
      </c>
      <c r="F189" s="12" t="s">
        <v>427</v>
      </c>
      <c r="G189" s="12" t="s">
        <v>302</v>
      </c>
      <c r="H189" s="12" t="s">
        <v>48</v>
      </c>
      <c r="I189" s="13" t="s">
        <v>43</v>
      </c>
      <c r="J189" s="2" t="s">
        <v>303</v>
      </c>
      <c r="K189" s="2" t="s">
        <v>428</v>
      </c>
      <c r="L189" s="9" t="s">
        <v>112</v>
      </c>
      <c r="M189" s="9" t="s">
        <v>114</v>
      </c>
      <c r="N189" s="9" t="s">
        <v>252</v>
      </c>
      <c r="O189" s="30" t="s">
        <v>118</v>
      </c>
      <c r="P189" t="s">
        <v>383</v>
      </c>
    </row>
    <row r="190" spans="1:16">
      <c r="D190" s="35">
        <v>16.100000000000001</v>
      </c>
      <c r="E190" s="9">
        <f t="shared" ref="E190:E201" si="153">(0.5+(0.00000036*$B$196*$B$197^3*($B$193*0.0254)*($B$192*0.0254)^4)*($B$198+$B$199)*$D190-(0.25-(0.00000036*$B$196*$B$197^3*($B$193*0.0254)*($B$192*0.0254)^4)*(($B$198+$B$199)^2*$B$194-($B$198+$B$199)*$D190))^(1/2))/((0.00000036*$B$196*$B$197^3*($B$193*0.0254)*($B$192*0.0254)^4)*($B$198+$B$199)^2)</f>
        <v>19.525816671103421</v>
      </c>
      <c r="F190" s="36">
        <f>D190*E190</f>
        <v>314.36564840476512</v>
      </c>
      <c r="G190" s="36">
        <f>(D190-($B$198+$B$199)*E190)*(E190-$B$194)</f>
        <v>255.00126126464565</v>
      </c>
      <c r="H190" s="36">
        <f>G190/F190*100</f>
        <v>81.11613420825033</v>
      </c>
      <c r="I190" s="37">
        <f>$B$197*(D190-(E190*($B$198+$B$199)))</f>
        <v>8674.5513157029163</v>
      </c>
      <c r="J190" s="38">
        <f>(($B$192*0.0254)^4)*($B$193*0.0254)*(I190^3)*2*$B$196*0.00000018</f>
        <v>255.00126126464693</v>
      </c>
      <c r="K190" s="38">
        <f t="shared" ref="K190:K201" si="154">$K$165*0.6*((0.6*3.1416*($B$192*0.0254)^2*J190^2)^(1/3))/9.81*1000</f>
        <v>1775.0511012397581</v>
      </c>
      <c r="L190" s="38">
        <f>K190/F190</f>
        <v>5.646453772055497</v>
      </c>
      <c r="M190" s="38">
        <f>1.30652287/($B$192*0.0254)*POWER(K190*0.00981,3/2)</f>
        <v>311.47403937378863</v>
      </c>
      <c r="N190" s="38">
        <f>POWER(I190/$B$195,3)*100</f>
        <v>332.47901913246926</v>
      </c>
      <c r="O190" s="38">
        <f t="shared" ref="O190:O201" si="155">0.65*60*O$164/E190</f>
        <v>2.4966945465664407</v>
      </c>
      <c r="P190" s="33">
        <f>($N$19*$Q$18+SQRT($N$19^2*$Q$18^2+4*$N$19*($Y$24-(D190*$Q$18))))/(2*$N$19)</f>
        <v>21.774486468821642</v>
      </c>
    </row>
    <row r="191" spans="1:16">
      <c r="D191" s="14">
        <v>16.899999999999999</v>
      </c>
      <c r="E191" s="9">
        <f t="shared" si="153"/>
        <v>21.180444724884211</v>
      </c>
      <c r="F191" s="36">
        <f t="shared" ref="F191" si="156">D191*E191</f>
        <v>357.94951585054315</v>
      </c>
      <c r="G191" s="36">
        <f>(D191-($B$198+$B$199)*E191)*(E191-$B$194)</f>
        <v>290.50323650557834</v>
      </c>
      <c r="H191" s="9">
        <f>G191/F191*100</f>
        <v>81.157600064159311</v>
      </c>
      <c r="I191" s="37">
        <f>$B$197*(D191-(E191*($B$198+$B$199)))</f>
        <v>9059.7574212217514</v>
      </c>
      <c r="J191" s="38">
        <f>(($B$192*0.0254)^4)*($B$193*0.0254)*(I191^3)*2*$B$196*0.00000018</f>
        <v>290.50323650558011</v>
      </c>
      <c r="K191" s="63">
        <f t="shared" si="154"/>
        <v>1936.1988512696621</v>
      </c>
      <c r="L191" s="2">
        <f>K191/F191</f>
        <v>5.4091394611023729</v>
      </c>
      <c r="M191" s="38">
        <f>1.30652287/($B$192*0.0254)*POWER(K191*0.00981,3/2)</f>
        <v>354.83830972759466</v>
      </c>
      <c r="N191" s="38">
        <f>POWER(I191/$B$195,3)*100</f>
        <v>378.76766039970005</v>
      </c>
      <c r="O191" s="38">
        <f t="shared" si="155"/>
        <v>2.3016513880242195</v>
      </c>
      <c r="P191" s="34">
        <f>($N$19*$Q$18+SQRT($N$19^2*$Q$18^2+4*$N$19*($Y$24-(D191*$Q$18))))/(2*$N$19)</f>
        <v>21.545317631991121</v>
      </c>
    </row>
    <row r="192" spans="1:16">
      <c r="A192" s="5" t="s">
        <v>249</v>
      </c>
      <c r="B192" s="5">
        <v>12</v>
      </c>
      <c r="D192" s="56">
        <v>16</v>
      </c>
      <c r="E192" s="9">
        <f t="shared" si="153"/>
        <v>19.322937251601786</v>
      </c>
      <c r="F192" s="36">
        <f t="shared" ref="F192" si="157">D192*E192</f>
        <v>309.16699602562858</v>
      </c>
      <c r="G192" s="36">
        <f>(D192-($B$198+$B$199)*E192)*(E192-$B$194)</f>
        <v>250.75533878058474</v>
      </c>
      <c r="H192" s="9">
        <f>G192/F192*100</f>
        <v>81.106761719093143</v>
      </c>
      <c r="I192" s="37">
        <f>$B$197*(D192-(E192*($B$198+$B$199)))</f>
        <v>8626.1361216327441</v>
      </c>
      <c r="J192" s="38">
        <f>(($B$192*0.0254)^4)*($B$193*0.0254)*(I192^3)*2*$B$196*0.00000018</f>
        <v>250.75533878058621</v>
      </c>
      <c r="K192" s="64">
        <f t="shared" si="154"/>
        <v>1755.2922425008687</v>
      </c>
      <c r="L192" s="2">
        <f>K192/F192</f>
        <v>5.6774890756947505</v>
      </c>
      <c r="M192" s="38">
        <f>1.30652287/($B$192*0.0254)*POWER(K192*0.00981,3/2)</f>
        <v>306.28781158644506</v>
      </c>
      <c r="N192" s="38">
        <f>POWER(I192/$B$195,3)*100</f>
        <v>326.94304595409363</v>
      </c>
      <c r="O192" s="38">
        <f t="shared" si="155"/>
        <v>2.522908363528368</v>
      </c>
      <c r="P192" s="34">
        <f>($N$19*$Q$18+SQRT($N$19^2*$Q$18^2+4*$N$19*($Y$24-(D192*$Q$18))))/(2*$N$19)</f>
        <v>21.802958002963376</v>
      </c>
    </row>
    <row r="193" spans="1:16">
      <c r="A193" s="5" t="s">
        <v>109</v>
      </c>
      <c r="B193" s="5">
        <v>4.5</v>
      </c>
      <c r="D193" s="14">
        <v>15</v>
      </c>
      <c r="E193" s="9">
        <f t="shared" si="153"/>
        <v>17.34354976784989</v>
      </c>
      <c r="F193" s="36">
        <f t="shared" ref="F193" si="158">D193*E193</f>
        <v>260.15324651774836</v>
      </c>
      <c r="G193" s="36">
        <f>(D193-($B$198+$B$199)*E193)*(E193-$B$194)</f>
        <v>210.60201930176677</v>
      </c>
      <c r="H193" s="9">
        <f>G193/F193*100</f>
        <v>80.953062135781934</v>
      </c>
      <c r="I193" s="37">
        <f>$B$197*(D193-(E193*($B$198+$B$199)))</f>
        <v>8138.6759075447708</v>
      </c>
      <c r="J193" s="38">
        <f>(($B$192*0.0254)^4)*($B$193*0.0254)*(I193^3)*2*$B$196*0.00000018</f>
        <v>210.60201930176635</v>
      </c>
      <c r="K193" s="64">
        <f t="shared" si="154"/>
        <v>1562.515479943786</v>
      </c>
      <c r="L193" s="2">
        <f>K193/F193</f>
        <v>6.0061348488195279</v>
      </c>
      <c r="M193" s="38">
        <f>1.30652287/($B$192*0.0254)*POWER(K193*0.00981,3/2)</f>
        <v>257.24210667381544</v>
      </c>
      <c r="N193" s="38">
        <f>POWER(I193/$B$195,3)*100</f>
        <v>274.58982931107647</v>
      </c>
      <c r="O193" s="38">
        <f t="shared" si="155"/>
        <v>2.8108432617623018</v>
      </c>
      <c r="P193" s="34">
        <f>($N$19*$Q$18+SQRT($N$19^2*$Q$18^2+4*$N$19*($Y$24-(D193*$Q$18))))/(2*$N$19)</f>
        <v>22.0855935143436</v>
      </c>
    </row>
    <row r="194" spans="1:16">
      <c r="A194" s="10" t="s">
        <v>63</v>
      </c>
      <c r="B194" s="5">
        <f>$Q$18</f>
        <v>1.3</v>
      </c>
      <c r="D194" s="56">
        <v>14</v>
      </c>
      <c r="E194" s="9">
        <f t="shared" si="153"/>
        <v>15.456389377707817</v>
      </c>
      <c r="F194" s="36">
        <f t="shared" ref="F194:F196" si="159">D194*E194</f>
        <v>216.38945128790942</v>
      </c>
      <c r="G194" s="36">
        <f>(D194-($B$198+$B$199)*E194)*(E194-$B$194)</f>
        <v>174.55833131624516</v>
      </c>
      <c r="H194" s="9">
        <f>G194/F194*100</f>
        <v>80.668595570304703</v>
      </c>
      <c r="I194" s="37">
        <f>$B$197*(D194-(E194*($B$198+$B$199)))</f>
        <v>7645.0401672686849</v>
      </c>
      <c r="J194" s="38">
        <f>(($B$192*0.0254)^4)*($B$193*0.0254)*(I194^3)*2*$B$196*0.00000018</f>
        <v>174.55833131624541</v>
      </c>
      <c r="K194" s="64">
        <f t="shared" si="154"/>
        <v>1378.7209104500268</v>
      </c>
      <c r="L194" s="2">
        <f>K194/F194</f>
        <v>6.3714793038391591</v>
      </c>
      <c r="M194" s="38">
        <f>1.30652287/($B$192*0.0254)*POWER(K194*0.00981,3/2)</f>
        <v>213.21615544870593</v>
      </c>
      <c r="N194" s="38">
        <f>POWER(I194/$B$195,3)*100</f>
        <v>227.59488517664056</v>
      </c>
      <c r="O194" s="38">
        <f t="shared" si="155"/>
        <v>3.1540354482988335</v>
      </c>
      <c r="P194" s="34">
        <f>($N$19*$Q$18+SQRT($N$19^2*$Q$18^2+4*$N$19*($Y$24-(D194*$Q$18))))/(2*$N$19)</f>
        <v>22.364550567515931</v>
      </c>
    </row>
    <row r="195" spans="1:16">
      <c r="A195" s="4" t="s">
        <v>14</v>
      </c>
      <c r="B195" s="4">
        <v>5812</v>
      </c>
      <c r="D195" s="56">
        <v>13</v>
      </c>
      <c r="E195" s="9">
        <f t="shared" si="153"/>
        <v>13.665052721664543</v>
      </c>
      <c r="F195" s="36">
        <f t="shared" si="159"/>
        <v>177.64568538163905</v>
      </c>
      <c r="G195" s="36">
        <f t="shared" ref="G195:G199" si="160">(D195-($B$198+$B$199)*E195)*(E195-$B$194)</f>
        <v>142.49702286808662</v>
      </c>
      <c r="H195" s="9">
        <f t="shared" ref="H195:H199" si="161">G195/F195*100</f>
        <v>80.21417607861288</v>
      </c>
      <c r="I195" s="37">
        <f t="shared" ref="I195:I199" si="162">$B$197*(D195-(E195*($B$198+$B$199)))</f>
        <v>7144.9880697573426</v>
      </c>
      <c r="J195" s="38">
        <f t="shared" ref="J195:J199" si="163">(($B$192*0.0254)^4)*($B$193*0.0254)*(I195^3)*2*$B$196*0.00000018</f>
        <v>142.49702286808599</v>
      </c>
      <c r="K195" s="64">
        <f t="shared" si="154"/>
        <v>1204.2588184965705</v>
      </c>
      <c r="L195" s="2">
        <f t="shared" ref="L195:L199" si="164">K195/F195</f>
        <v>6.7789927794161846</v>
      </c>
      <c r="M195" s="38">
        <f t="shared" ref="M195:M199" si="165">1.30652287/($B$192*0.0254)*POWER(K195*0.00981,3/2)</f>
        <v>174.05452463781685</v>
      </c>
      <c r="N195" s="38">
        <f t="shared" ref="N195:N199" si="166">POWER(I195/$B$195,3)*100</f>
        <v>185.792298271454</v>
      </c>
      <c r="O195" s="38">
        <f t="shared" si="155"/>
        <v>3.5674944687708279</v>
      </c>
      <c r="P195" s="34">
        <f t="shared" ref="P195:P199" si="167">($N$19*$Q$18+SQRT($N$19^2*$Q$18^2+4*$N$19*($Y$24-(D195*$Q$18))))/(2*$N$19)</f>
        <v>22.639969153826556</v>
      </c>
    </row>
    <row r="196" spans="1:16">
      <c r="A196" s="4" t="s">
        <v>110</v>
      </c>
      <c r="B196" s="4">
        <v>1.1000000000000001</v>
      </c>
      <c r="D196" s="14">
        <v>12</v>
      </c>
      <c r="E196" s="9">
        <f t="shared" si="153"/>
        <v>11.973376468982028</v>
      </c>
      <c r="F196" s="36">
        <f t="shared" si="159"/>
        <v>143.68051762778435</v>
      </c>
      <c r="G196" s="36">
        <f t="shared" si="160"/>
        <v>114.27851132468837</v>
      </c>
      <c r="H196" s="9">
        <f t="shared" si="161"/>
        <v>79.536539268835185</v>
      </c>
      <c r="I196" s="37">
        <f t="shared" si="162"/>
        <v>6638.2627116369631</v>
      </c>
      <c r="J196" s="38">
        <f t="shared" si="163"/>
        <v>114.27851132468811</v>
      </c>
      <c r="K196" s="64">
        <f t="shared" si="154"/>
        <v>1039.5028654738426</v>
      </c>
      <c r="L196" s="2">
        <f t="shared" si="164"/>
        <v>7.2348212731718871</v>
      </c>
      <c r="M196" s="38">
        <f t="shared" si="165"/>
        <v>139.58671952991898</v>
      </c>
      <c r="N196" s="38">
        <f t="shared" si="166"/>
        <v>149.00007617499057</v>
      </c>
      <c r="O196" s="38">
        <f t="shared" si="155"/>
        <v>4.0715332159053634</v>
      </c>
      <c r="P196" s="34">
        <f t="shared" si="167"/>
        <v>22.911980604233765</v>
      </c>
    </row>
    <row r="197" spans="1:16">
      <c r="A197" s="4" t="s">
        <v>157</v>
      </c>
      <c r="B197" s="4">
        <v>620</v>
      </c>
      <c r="D197" s="56">
        <v>10.8</v>
      </c>
      <c r="E197" s="9">
        <f t="shared" si="153"/>
        <v>10.08070916462502</v>
      </c>
      <c r="F197" s="36">
        <f t="shared" ref="F197:F199" si="168">D197*E197</f>
        <v>108.87165897795022</v>
      </c>
      <c r="G197" s="36">
        <f t="shared" si="160"/>
        <v>85.27195524039405</v>
      </c>
      <c r="H197" s="9">
        <f t="shared" si="161"/>
        <v>78.323372713245959</v>
      </c>
      <c r="I197" s="37">
        <f t="shared" si="162"/>
        <v>6020.9957143367092</v>
      </c>
      <c r="J197" s="38">
        <f t="shared" si="163"/>
        <v>85.271955240395187</v>
      </c>
      <c r="K197" s="65">
        <f t="shared" si="154"/>
        <v>855.17196587658827</v>
      </c>
      <c r="L197" s="2">
        <f t="shared" si="164"/>
        <v>7.8548630002027089</v>
      </c>
      <c r="M197" s="38">
        <f t="shared" si="165"/>
        <v>104.15634892276917</v>
      </c>
      <c r="N197" s="38">
        <f t="shared" si="166"/>
        <v>111.18037572532189</v>
      </c>
      <c r="O197" s="38">
        <f t="shared" si="155"/>
        <v>4.8359692957983862</v>
      </c>
      <c r="P197" s="34">
        <f t="shared" si="167"/>
        <v>23.234070157252987</v>
      </c>
    </row>
    <row r="198" spans="1:16">
      <c r="A198" s="4" t="s">
        <v>158</v>
      </c>
      <c r="B198" s="4">
        <v>0.108</v>
      </c>
      <c r="D198" s="56">
        <v>10</v>
      </c>
      <c r="E198" s="9">
        <f t="shared" si="153"/>
        <v>8.9056931807550406</v>
      </c>
      <c r="F198" s="36">
        <f t="shared" si="168"/>
        <v>89.056931807550399</v>
      </c>
      <c r="G198" s="36">
        <f t="shared" si="160"/>
        <v>68.741663058915762</v>
      </c>
      <c r="H198" s="9">
        <f t="shared" si="161"/>
        <v>77.188447506213919</v>
      </c>
      <c r="I198" s="37">
        <f t="shared" si="162"/>
        <v>5603.6747846166427</v>
      </c>
      <c r="J198" s="38">
        <f t="shared" si="163"/>
        <v>68.741663058916274</v>
      </c>
      <c r="K198" s="64">
        <f t="shared" si="154"/>
        <v>740.73465676825822</v>
      </c>
      <c r="L198" s="2">
        <f t="shared" si="164"/>
        <v>8.3175407206815262</v>
      </c>
      <c r="M198" s="38">
        <f t="shared" si="165"/>
        <v>83.965245348380677</v>
      </c>
      <c r="N198" s="38">
        <f t="shared" si="166"/>
        <v>89.627637894870986</v>
      </c>
      <c r="O198" s="38">
        <f t="shared" si="155"/>
        <v>5.4740264469639959</v>
      </c>
      <c r="P198" s="34">
        <f t="shared" si="167"/>
        <v>23.446268433613309</v>
      </c>
    </row>
    <row r="199" spans="1:16">
      <c r="A199" s="4" t="s">
        <v>250</v>
      </c>
      <c r="B199" s="4">
        <v>0</v>
      </c>
      <c r="D199" s="14">
        <v>9</v>
      </c>
      <c r="E199" s="9">
        <f t="shared" si="153"/>
        <v>7.5387821107053989</v>
      </c>
      <c r="F199" s="36">
        <f t="shared" si="168"/>
        <v>67.849038996348597</v>
      </c>
      <c r="G199" s="36">
        <f t="shared" si="160"/>
        <v>51.069494547720915</v>
      </c>
      <c r="H199" s="9">
        <f t="shared" si="161"/>
        <v>75.269296814166069</v>
      </c>
      <c r="I199" s="37">
        <f t="shared" si="162"/>
        <v>5075.2031498671658</v>
      </c>
      <c r="J199" s="38">
        <f t="shared" si="163"/>
        <v>51.069494547720865</v>
      </c>
      <c r="K199" s="64">
        <f t="shared" si="154"/>
        <v>607.6082765366699</v>
      </c>
      <c r="L199" s="2">
        <f t="shared" si="164"/>
        <v>8.9552967223215845</v>
      </c>
      <c r="M199" s="38">
        <f t="shared" si="165"/>
        <v>62.379384622132434</v>
      </c>
      <c r="N199" s="38">
        <f t="shared" si="166"/>
        <v>66.586084204483271</v>
      </c>
      <c r="O199" s="38">
        <f t="shared" si="155"/>
        <v>6.4665617448702859</v>
      </c>
      <c r="P199" s="34">
        <f t="shared" si="167"/>
        <v>23.708770382099555</v>
      </c>
    </row>
    <row r="200" spans="1:16">
      <c r="D200" s="56">
        <v>8.5</v>
      </c>
      <c r="E200" s="9">
        <f t="shared" si="153"/>
        <v>6.8992137805054528</v>
      </c>
      <c r="F200" s="36">
        <f>D200*E200</f>
        <v>58.643317134296346</v>
      </c>
      <c r="G200" s="36">
        <f>(D200-($B$198+$B$199)*E200)*(E200-$B$194)</f>
        <v>43.421258463854748</v>
      </c>
      <c r="H200" s="9">
        <f>G200/F200*100</f>
        <v>74.042978101695255</v>
      </c>
      <c r="I200" s="37">
        <f>$B$197*(D200-(E200*($B$198+$B$199)))</f>
        <v>4808.0286452573546</v>
      </c>
      <c r="J200" s="38">
        <f>(($B$192*0.0254)^4)*($B$193*0.0254)*(I200^3)*2*$B$196*0.00000018</f>
        <v>43.421258463854578</v>
      </c>
      <c r="K200" s="66">
        <f t="shared" si="154"/>
        <v>545.31935476563922</v>
      </c>
      <c r="L200" s="2">
        <f>K200/F200</f>
        <v>9.2989172750379829</v>
      </c>
      <c r="M200" s="38">
        <f>1.30652287/($B$192*0.0254)*POWER(K200*0.00981,3/2)</f>
        <v>53.037364212853525</v>
      </c>
      <c r="N200" s="38">
        <f>POWER(I200/$B$195,3)*100</f>
        <v>56.61406281664253</v>
      </c>
      <c r="O200" s="38">
        <f t="shared" si="155"/>
        <v>7.06602252821168</v>
      </c>
      <c r="P200" s="34">
        <f>($N$19*$Q$18+SQRT($N$19^2*$Q$18^2+4*$N$19*($Y$24-(D200*$Q$18))))/(2*$N$19)</f>
        <v>23.838907047398983</v>
      </c>
    </row>
    <row r="201" spans="1:16">
      <c r="D201" s="16">
        <v>7</v>
      </c>
      <c r="E201" s="17">
        <f t="shared" si="153"/>
        <v>5.1641535162535055</v>
      </c>
      <c r="F201" s="61">
        <f t="shared" ref="F201" si="169">D201*E201</f>
        <v>36.149074613774538</v>
      </c>
      <c r="G201" s="61">
        <f t="shared" ref="G201" si="170">(D201-($B$198+$B$199)*E201)*(E201-$B$194)</f>
        <v>24.893925761197718</v>
      </c>
      <c r="H201" s="17">
        <f t="shared" ref="H201" si="171">G201/F201*100</f>
        <v>68.864628008242107</v>
      </c>
      <c r="I201" s="62">
        <f t="shared" ref="I201" si="172">$B$197*(D201-(E201*($B$198+$B$199)))</f>
        <v>3994.2082805516652</v>
      </c>
      <c r="J201" s="38">
        <f>(($B$192*0.0254)^4)*($B$193*0.0254)*(I201^3)*2*$B$196*0.00000018</f>
        <v>24.893925761197632</v>
      </c>
      <c r="K201" s="38">
        <f t="shared" si="154"/>
        <v>376.3381404609483</v>
      </c>
      <c r="L201" s="2">
        <f t="shared" ref="L201" si="173">K201/F201</f>
        <v>10.41072681615881</v>
      </c>
      <c r="M201" s="38">
        <f t="shared" ref="M201" si="174">1.30652287/($B$192*0.0254)*POWER(K201*0.00981,3/2)</f>
        <v>30.406953966648565</v>
      </c>
      <c r="N201" s="38">
        <f t="shared" ref="N201" si="175">POWER(I201/$B$195,3)*100</f>
        <v>32.457517968311976</v>
      </c>
      <c r="O201" s="38">
        <f t="shared" si="155"/>
        <v>9.4400756767911105</v>
      </c>
      <c r="P201" s="34">
        <f t="shared" ref="P201" si="176">($N$19*$Q$18+SQRT($N$19^2*$Q$18^2+4*$N$19*($Y$24-(D201*$Q$18))))/(2*$N$19)</f>
        <v>24.225007223932419</v>
      </c>
    </row>
    <row r="202" spans="1:16">
      <c r="C202" s="67"/>
    </row>
    <row r="203" spans="1:16">
      <c r="C203" s="67"/>
      <c r="D203" s="67"/>
      <c r="E203" s="67"/>
      <c r="F203" s="67"/>
      <c r="G203" s="67"/>
      <c r="H203" s="67"/>
      <c r="I203" s="67"/>
      <c r="J203" s="67"/>
    </row>
  </sheetData>
  <sheetCalcPr fullCalcOnLoad="1"/>
  <mergeCells count="3">
    <mergeCell ref="O122:P122"/>
    <mergeCell ref="O163:P163"/>
    <mergeCell ref="O186:P186"/>
  </mergeCells>
  <phoneticPr fontId="1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T103"/>
  <sheetViews>
    <sheetView topLeftCell="A148" workbookViewId="0">
      <selection activeCell="B215" sqref="B215"/>
    </sheetView>
  </sheetViews>
  <sheetFormatPr baseColWidth="10" defaultRowHeight="15"/>
  <sheetData>
    <row r="1" spans="1:18" ht="24">
      <c r="B1" s="95" t="s">
        <v>263</v>
      </c>
      <c r="C1" s="8"/>
      <c r="D1" s="8"/>
      <c r="E1" s="8"/>
      <c r="F1" s="8"/>
      <c r="G1" s="8"/>
    </row>
    <row r="7" spans="1:18" ht="16">
      <c r="F7" t="s">
        <v>292</v>
      </c>
      <c r="H7" s="82" t="s">
        <v>304</v>
      </c>
      <c r="I7" s="83"/>
      <c r="J7" s="83"/>
      <c r="K7" s="83"/>
      <c r="L7" s="83"/>
      <c r="M7" s="83"/>
      <c r="N7" s="84"/>
    </row>
    <row r="8" spans="1:18" ht="17">
      <c r="F8" t="s">
        <v>8</v>
      </c>
      <c r="H8" s="85" t="s">
        <v>285</v>
      </c>
      <c r="I8" s="86"/>
      <c r="J8" s="86"/>
      <c r="K8" s="86"/>
      <c r="L8" s="86"/>
      <c r="M8" s="86"/>
      <c r="N8" s="87"/>
      <c r="R8" s="7" t="s">
        <v>286</v>
      </c>
    </row>
    <row r="9" spans="1:18">
      <c r="O9" s="186" t="s">
        <v>135</v>
      </c>
      <c r="P9" s="186"/>
      <c r="R9" s="7">
        <f>($B$20*$B$17^2+$B$14*(($B$18/$B$17)-$B$17*$B$20))/2</f>
        <v>52.95</v>
      </c>
    </row>
    <row r="10" spans="1:18" ht="16">
      <c r="D10" s="2"/>
      <c r="E10" s="2"/>
      <c r="F10" s="2"/>
      <c r="G10" s="2"/>
      <c r="H10" s="2"/>
      <c r="I10" s="2"/>
      <c r="J10" s="2"/>
      <c r="K10" s="4" t="s">
        <v>287</v>
      </c>
      <c r="L10" s="2"/>
      <c r="M10" s="2"/>
      <c r="N10" s="2"/>
      <c r="O10" s="89">
        <v>2</v>
      </c>
      <c r="P10" s="89" t="s">
        <v>394</v>
      </c>
      <c r="R10" t="s">
        <v>33</v>
      </c>
    </row>
    <row r="11" spans="1:18" ht="16">
      <c r="D11" s="2"/>
      <c r="E11" s="2"/>
      <c r="F11" s="2"/>
      <c r="G11" s="2"/>
      <c r="H11" s="2"/>
      <c r="I11" s="2"/>
      <c r="J11" s="2"/>
      <c r="K11" s="4">
        <v>1.34</v>
      </c>
      <c r="M11" s="2" t="s">
        <v>113</v>
      </c>
      <c r="N11" s="2" t="s">
        <v>113</v>
      </c>
      <c r="O11" s="89" t="s">
        <v>116</v>
      </c>
      <c r="R11" s="93" t="s">
        <v>22</v>
      </c>
    </row>
    <row r="12" spans="1:18">
      <c r="A12" s="5" t="s">
        <v>261</v>
      </c>
      <c r="B12" s="5">
        <v>13</v>
      </c>
      <c r="D12" s="11" t="s">
        <v>425</v>
      </c>
      <c r="E12" s="12" t="s">
        <v>426</v>
      </c>
      <c r="F12" s="12" t="s">
        <v>262</v>
      </c>
      <c r="G12" s="12" t="s">
        <v>127</v>
      </c>
      <c r="H12" s="12" t="s">
        <v>128</v>
      </c>
      <c r="I12" s="13" t="s">
        <v>129</v>
      </c>
      <c r="J12" s="2" t="s">
        <v>24</v>
      </c>
      <c r="K12" s="2" t="s">
        <v>25</v>
      </c>
      <c r="L12" s="9" t="s">
        <v>26</v>
      </c>
      <c r="M12" s="9" t="s">
        <v>133</v>
      </c>
      <c r="N12" s="9" t="s">
        <v>268</v>
      </c>
      <c r="O12" s="89" t="s">
        <v>118</v>
      </c>
      <c r="P12" t="s">
        <v>269</v>
      </c>
    </row>
    <row r="13" spans="1:18">
      <c r="A13" s="5" t="s">
        <v>109</v>
      </c>
      <c r="B13" s="5">
        <v>4</v>
      </c>
      <c r="D13" s="35">
        <v>29.8</v>
      </c>
      <c r="E13" s="9">
        <f t="shared" ref="E13:E24" si="0">(0.5+(0.00000036*$B$16*$B$19^3*($B$13*0.0254)*($B$12*0.0254)^4)*($B$20+$B$21)*$D13-(0.25-(0.00000036*$B$16*$B$19^3*($B$13*0.0254)*($B$12*0.0254)^4)*(($B$20+$B$21)^2*$B$14-($B$20+$B$21)*$D13))^(1/2))/((0.00000036*$B$16*$B$19^3*($B$13*0.0254)*($B$12*0.0254)^4)*($B$20+$B$21)^2)</f>
        <v>20.025138175871582</v>
      </c>
      <c r="F13" s="36">
        <f t="shared" ref="F13:F24" si="1">D13*E13</f>
        <v>596.74911764097317</v>
      </c>
      <c r="G13" s="36">
        <f t="shared" ref="G13:G24" si="2">(D13-($B$20+$B$21)*E13)*(E13-$B$14)</f>
        <v>536.08009927467822</v>
      </c>
      <c r="H13" s="9">
        <f t="shared" ref="H13:H24" si="3">G13/F13*100</f>
        <v>89.833412974932003</v>
      </c>
      <c r="I13" s="37">
        <f t="shared" ref="I13:I24" si="4">$B$19*(D13-(E13*($B$20+$B$21)))</f>
        <v>10486.949224248568</v>
      </c>
      <c r="J13" s="38">
        <f t="shared" ref="J13:J24" si="5">(($B$12*0.0254)^4)*($B$13*0.0254)*(I13^3)*2*$B$16*0.00000018</f>
        <v>536.08009927467413</v>
      </c>
      <c r="K13" s="36">
        <f t="shared" ref="K13:K24" si="6">$K$11*0.6*((0.6*3.1416*($B$12*0.0254)^2*J13^2)^(1/3))/9.81*1000</f>
        <v>3191.7259193260666</v>
      </c>
      <c r="L13" s="2">
        <f t="shared" ref="L13:L24" si="7">K13/F13</f>
        <v>5.3485222264649073</v>
      </c>
      <c r="M13" s="38">
        <f t="shared" ref="M13:M24" si="8">1.30652287/($B$12*0.0254)*POWER(K13*0.00981,3/2)</f>
        <v>693.23717535237597</v>
      </c>
      <c r="N13" s="38">
        <f t="shared" ref="N13:N24" si="9">POWER(I13/$B$15,3)*100</f>
        <v>622.76318158025572</v>
      </c>
      <c r="O13" s="38">
        <f t="shared" ref="O13:O24" si="10">0.65*60*O$10/E13</f>
        <v>3.8951042092674646</v>
      </c>
      <c r="P13" s="33">
        <f t="shared" ref="P13:P24" si="11">($B$20*$B$14+SQRT($B$20^2*$B$14^2+4*$B$20*($R$9-(D13*$B$14))))/(2*$B$20)</f>
        <v>18.158000498885137</v>
      </c>
    </row>
    <row r="14" spans="1:18">
      <c r="A14" s="94" t="s">
        <v>63</v>
      </c>
      <c r="B14" s="8">
        <v>0.6</v>
      </c>
      <c r="D14" s="56">
        <v>22.2</v>
      </c>
      <c r="E14" s="9">
        <f t="shared" si="0"/>
        <v>11.749134291403511</v>
      </c>
      <c r="F14" s="36">
        <f t="shared" si="1"/>
        <v>260.83078126915791</v>
      </c>
      <c r="G14" s="36">
        <f t="shared" si="2"/>
        <v>233.10158690667285</v>
      </c>
      <c r="H14" s="36">
        <f t="shared" si="3"/>
        <v>89.368894948840179</v>
      </c>
      <c r="I14" s="37">
        <f t="shared" si="4"/>
        <v>7944.8861866193329</v>
      </c>
      <c r="J14" s="38">
        <f t="shared" si="5"/>
        <v>233.10158690666879</v>
      </c>
      <c r="K14" s="121">
        <f t="shared" si="6"/>
        <v>1831.9036175567717</v>
      </c>
      <c r="L14" s="38">
        <f t="shared" si="7"/>
        <v>7.0233413734492629</v>
      </c>
      <c r="M14" s="38">
        <f t="shared" si="8"/>
        <v>301.43757601891195</v>
      </c>
      <c r="N14" s="38">
        <f t="shared" si="9"/>
        <v>270.79364835556697</v>
      </c>
      <c r="O14" s="38">
        <f t="shared" si="10"/>
        <v>6.6387870004235339</v>
      </c>
      <c r="P14" s="34">
        <f t="shared" si="11"/>
        <v>19.283222257370515</v>
      </c>
    </row>
    <row r="15" spans="1:18">
      <c r="A15" s="4" t="s">
        <v>270</v>
      </c>
      <c r="B15" s="4">
        <v>5700</v>
      </c>
      <c r="D15" s="56">
        <v>19.507999999999999</v>
      </c>
      <c r="E15" s="9">
        <f t="shared" si="0"/>
        <v>9.313672195441292</v>
      </c>
      <c r="F15" s="36">
        <f t="shared" si="1"/>
        <v>181.69111718866873</v>
      </c>
      <c r="G15" s="36">
        <f t="shared" si="2"/>
        <v>161.05912567951287</v>
      </c>
      <c r="H15" s="9">
        <f t="shared" si="3"/>
        <v>88.644468794954065</v>
      </c>
      <c r="I15" s="37">
        <f t="shared" si="4"/>
        <v>7023.7285022305541</v>
      </c>
      <c r="J15" s="38">
        <f t="shared" si="5"/>
        <v>161.05912567951117</v>
      </c>
      <c r="K15" s="65">
        <f t="shared" si="6"/>
        <v>1431.7351643473135</v>
      </c>
      <c r="L15" s="2">
        <f t="shared" si="7"/>
        <v>7.8800504201897468</v>
      </c>
      <c r="M15" s="38">
        <f t="shared" si="8"/>
        <v>208.27516914329607</v>
      </c>
      <c r="N15" s="38">
        <f t="shared" si="9"/>
        <v>187.10206490861466</v>
      </c>
      <c r="O15" s="38">
        <f t="shared" si="10"/>
        <v>8.3747847640781465</v>
      </c>
      <c r="P15" s="34">
        <f t="shared" si="11"/>
        <v>19.66611379798135</v>
      </c>
    </row>
    <row r="16" spans="1:18">
      <c r="A16" s="4" t="s">
        <v>271</v>
      </c>
      <c r="B16" s="4">
        <v>1.069</v>
      </c>
      <c r="D16" s="56">
        <v>19</v>
      </c>
      <c r="E16" s="9">
        <f t="shared" si="0"/>
        <v>8.8846147790259131</v>
      </c>
      <c r="F16" s="36">
        <f t="shared" si="1"/>
        <v>168.80768080149235</v>
      </c>
      <c r="G16" s="36">
        <f t="shared" si="2"/>
        <v>149.31106360202264</v>
      </c>
      <c r="H16" s="36">
        <f t="shared" si="3"/>
        <v>88.450396861741993</v>
      </c>
      <c r="I16" s="37">
        <f t="shared" si="4"/>
        <v>6848.6231022367165</v>
      </c>
      <c r="J16" s="38">
        <f t="shared" si="5"/>
        <v>149.31106360202352</v>
      </c>
      <c r="K16" s="64">
        <f t="shared" si="6"/>
        <v>1361.2371496380736</v>
      </c>
      <c r="L16" s="38">
        <f t="shared" si="7"/>
        <v>8.0638341998123071</v>
      </c>
      <c r="M16" s="38">
        <f t="shared" si="8"/>
        <v>193.08304882120018</v>
      </c>
      <c r="N16" s="38">
        <f t="shared" si="9"/>
        <v>173.45436463643961</v>
      </c>
      <c r="O16" s="38">
        <f t="shared" si="10"/>
        <v>8.7792213776264276</v>
      </c>
      <c r="P16" s="34">
        <f t="shared" si="11"/>
        <v>19.737522288791663</v>
      </c>
    </row>
    <row r="17" spans="1:20">
      <c r="A17" s="5" t="s">
        <v>137</v>
      </c>
      <c r="B17" s="5">
        <v>30</v>
      </c>
      <c r="D17" s="56">
        <v>18</v>
      </c>
      <c r="E17" s="9">
        <f t="shared" si="0"/>
        <v>8.0688881867330497</v>
      </c>
      <c r="F17" s="36">
        <f t="shared" si="1"/>
        <v>145.23998736119489</v>
      </c>
      <c r="G17" s="36">
        <f t="shared" si="2"/>
        <v>127.81076875881926</v>
      </c>
      <c r="H17" s="9">
        <f t="shared" si="3"/>
        <v>87.999710741483895</v>
      </c>
      <c r="I17" s="37">
        <f t="shared" si="4"/>
        <v>6502.7204737945585</v>
      </c>
      <c r="J17" s="38">
        <f t="shared" si="5"/>
        <v>127.81076875882151</v>
      </c>
      <c r="K17" s="64">
        <f t="shared" si="6"/>
        <v>1227.2058915779182</v>
      </c>
      <c r="L17" s="2">
        <f t="shared" si="7"/>
        <v>8.449504257570613</v>
      </c>
      <c r="M17" s="38">
        <f t="shared" si="8"/>
        <v>165.27973419245143</v>
      </c>
      <c r="N17" s="38">
        <f t="shared" si="9"/>
        <v>148.47751502090199</v>
      </c>
      <c r="O17" s="38">
        <f t="shared" si="10"/>
        <v>9.6667593099441405</v>
      </c>
      <c r="P17" s="34">
        <f t="shared" si="11"/>
        <v>19.877329189187638</v>
      </c>
    </row>
    <row r="18" spans="1:20" ht="17">
      <c r="A18" s="5" t="s">
        <v>138</v>
      </c>
      <c r="B18" s="5">
        <v>444</v>
      </c>
      <c r="D18" s="56">
        <v>17</v>
      </c>
      <c r="E18" s="9">
        <f t="shared" si="0"/>
        <v>7.2919067983695767</v>
      </c>
      <c r="F18" s="36">
        <f t="shared" si="1"/>
        <v>123.96241557228281</v>
      </c>
      <c r="G18" s="36">
        <f t="shared" si="2"/>
        <v>108.39477189780327</v>
      </c>
      <c r="H18" s="36">
        <f t="shared" si="3"/>
        <v>87.441642208559571</v>
      </c>
      <c r="I18" s="37">
        <f t="shared" si="4"/>
        <v>6155.1982958281515</v>
      </c>
      <c r="J18" s="38">
        <f t="shared" si="5"/>
        <v>108.39477189780318</v>
      </c>
      <c r="K18" s="64">
        <f t="shared" si="6"/>
        <v>1099.5408210069168</v>
      </c>
      <c r="L18" s="38">
        <f t="shared" si="7"/>
        <v>8.869953170328241</v>
      </c>
      <c r="M18" s="38">
        <f t="shared" si="8"/>
        <v>140.17174969760745</v>
      </c>
      <c r="N18" s="38">
        <f t="shared" si="9"/>
        <v>125.92199021205322</v>
      </c>
      <c r="O18" s="38">
        <f t="shared" si="10"/>
        <v>10.696790586714616</v>
      </c>
      <c r="P18" s="34">
        <f t="shared" si="11"/>
        <v>20.016144745775314</v>
      </c>
      <c r="S18" s="2"/>
      <c r="T18" s="2"/>
    </row>
    <row r="19" spans="1:20">
      <c r="A19" s="5" t="s">
        <v>139</v>
      </c>
      <c r="B19" s="5">
        <v>380</v>
      </c>
      <c r="D19" s="56">
        <v>16</v>
      </c>
      <c r="E19" s="9">
        <f t="shared" si="0"/>
        <v>6.5542199908493366</v>
      </c>
      <c r="F19" s="36">
        <f t="shared" si="1"/>
        <v>104.86751985358939</v>
      </c>
      <c r="G19" s="36">
        <f t="shared" si="2"/>
        <v>90.97474040725605</v>
      </c>
      <c r="H19" s="9">
        <f t="shared" si="3"/>
        <v>86.752066354072525</v>
      </c>
      <c r="I19" s="37">
        <f t="shared" si="4"/>
        <v>5806.0336043824982</v>
      </c>
      <c r="J19" s="38">
        <f t="shared" si="5"/>
        <v>90.97474040725686</v>
      </c>
      <c r="K19" s="64">
        <f t="shared" si="6"/>
        <v>978.3322055216662</v>
      </c>
      <c r="L19" s="2">
        <f t="shared" si="7"/>
        <v>9.3292204000586931</v>
      </c>
      <c r="M19" s="38">
        <f t="shared" si="8"/>
        <v>117.64486716383108</v>
      </c>
      <c r="N19" s="38">
        <f t="shared" si="9"/>
        <v>105.68517439113548</v>
      </c>
      <c r="O19" s="38">
        <f t="shared" si="10"/>
        <v>11.900729622884121</v>
      </c>
      <c r="P19" s="34">
        <f t="shared" si="11"/>
        <v>20.153989752463087</v>
      </c>
    </row>
    <row r="20" spans="1:20">
      <c r="A20" s="5" t="s">
        <v>140</v>
      </c>
      <c r="B20" s="8">
        <v>0.11</v>
      </c>
      <c r="D20" s="56">
        <v>15.67</v>
      </c>
      <c r="E20" s="9">
        <f t="shared" si="0"/>
        <v>6.3195020271123017</v>
      </c>
      <c r="F20" s="36">
        <f t="shared" si="1"/>
        <v>99.026596764849771</v>
      </c>
      <c r="G20" s="36">
        <f t="shared" si="2"/>
        <v>85.648712252864769</v>
      </c>
      <c r="H20" s="36">
        <f t="shared" si="3"/>
        <v>86.490614694401387</v>
      </c>
      <c r="I20" s="37">
        <f t="shared" si="4"/>
        <v>5690.4448152667055</v>
      </c>
      <c r="J20" s="38">
        <f t="shared" si="5"/>
        <v>85.648712252864627</v>
      </c>
      <c r="K20" s="65">
        <f t="shared" si="6"/>
        <v>939.76592085442644</v>
      </c>
      <c r="L20" s="38">
        <f t="shared" si="7"/>
        <v>9.4900355213257548</v>
      </c>
      <c r="M20" s="38">
        <f t="shared" si="8"/>
        <v>110.75746224319762</v>
      </c>
      <c r="N20" s="38">
        <f t="shared" si="9"/>
        <v>99.497938112260186</v>
      </c>
      <c r="O20" s="38">
        <f t="shared" si="10"/>
        <v>12.342744675982345</v>
      </c>
      <c r="P20" s="34">
        <f t="shared" si="11"/>
        <v>20.199269059211925</v>
      </c>
    </row>
    <row r="21" spans="1:20">
      <c r="A21" s="5" t="s">
        <v>250</v>
      </c>
      <c r="B21" s="5">
        <v>0</v>
      </c>
      <c r="D21" s="56">
        <v>15</v>
      </c>
      <c r="E21" s="9">
        <f t="shared" si="0"/>
        <v>5.8563902480289673</v>
      </c>
      <c r="F21" s="36">
        <f t="shared" si="1"/>
        <v>87.845853720434505</v>
      </c>
      <c r="G21" s="36">
        <f t="shared" si="2"/>
        <v>75.459671735711453</v>
      </c>
      <c r="H21" s="9">
        <f t="shared" si="3"/>
        <v>85.900094927483408</v>
      </c>
      <c r="I21" s="37">
        <f t="shared" si="4"/>
        <v>5455.2028876323893</v>
      </c>
      <c r="J21" s="38">
        <f t="shared" si="5"/>
        <v>75.459671735712959</v>
      </c>
      <c r="K21" s="64">
        <f t="shared" si="6"/>
        <v>863.67246630792795</v>
      </c>
      <c r="L21" s="2">
        <f t="shared" si="7"/>
        <v>9.8316816301487258</v>
      </c>
      <c r="M21" s="38">
        <f t="shared" si="8"/>
        <v>97.58140575981372</v>
      </c>
      <c r="N21" s="38">
        <f t="shared" si="9"/>
        <v>87.661350075702018</v>
      </c>
      <c r="O21" s="38">
        <f t="shared" si="10"/>
        <v>13.318784557817294</v>
      </c>
      <c r="P21" s="34">
        <f t="shared" si="11"/>
        <v>20.290884286230426</v>
      </c>
    </row>
    <row r="22" spans="1:20">
      <c r="D22" s="56">
        <v>14.5</v>
      </c>
      <c r="E22" s="9">
        <f t="shared" si="0"/>
        <v>5.5226012443991568</v>
      </c>
      <c r="F22" s="36">
        <f t="shared" si="1"/>
        <v>80.077718043787769</v>
      </c>
      <c r="G22" s="36">
        <f t="shared" si="2"/>
        <v>68.387306030407828</v>
      </c>
      <c r="H22" s="9">
        <f t="shared" si="3"/>
        <v>85.401167392173392</v>
      </c>
      <c r="I22" s="37">
        <f t="shared" si="4"/>
        <v>5279.1552679841152</v>
      </c>
      <c r="J22" s="38">
        <f t="shared" si="5"/>
        <v>68.387306030405654</v>
      </c>
      <c r="K22" s="64">
        <f t="shared" si="6"/>
        <v>808.82791360377053</v>
      </c>
      <c r="L22" s="2">
        <f t="shared" si="7"/>
        <v>10.100536495826349</v>
      </c>
      <c r="M22" s="38">
        <f t="shared" si="8"/>
        <v>88.435707512033446</v>
      </c>
      <c r="N22" s="38">
        <f t="shared" si="9"/>
        <v>79.445396948742982</v>
      </c>
      <c r="O22" s="38">
        <f t="shared" si="10"/>
        <v>14.123779093974072</v>
      </c>
      <c r="P22" s="34">
        <f t="shared" si="11"/>
        <v>20.358981212233267</v>
      </c>
    </row>
    <row r="23" spans="1:20">
      <c r="D23" s="56">
        <v>13.5</v>
      </c>
      <c r="E23" s="9">
        <f t="shared" si="0"/>
        <v>4.8856415197903669</v>
      </c>
      <c r="F23" s="36">
        <f t="shared" si="1"/>
        <v>65.956160517169948</v>
      </c>
      <c r="G23" s="36">
        <f t="shared" si="2"/>
        <v>55.552968620887171</v>
      </c>
      <c r="H23" s="36">
        <f t="shared" si="3"/>
        <v>84.227111137594818</v>
      </c>
      <c r="I23" s="37">
        <f t="shared" si="4"/>
        <v>4925.7801844727628</v>
      </c>
      <c r="J23" s="38">
        <f t="shared" si="5"/>
        <v>55.552968620882922</v>
      </c>
      <c r="K23" s="64">
        <f t="shared" si="6"/>
        <v>704.16966900366401</v>
      </c>
      <c r="L23" s="38">
        <f t="shared" si="7"/>
        <v>10.676328996142097</v>
      </c>
      <c r="M23" s="38">
        <f t="shared" si="8"/>
        <v>71.838859717580718</v>
      </c>
      <c r="N23" s="38">
        <f t="shared" si="9"/>
        <v>64.535772791003865</v>
      </c>
      <c r="O23" s="38">
        <f t="shared" si="10"/>
        <v>15.965150059422866</v>
      </c>
      <c r="P23" s="34">
        <f t="shared" si="11"/>
        <v>20.494486196169309</v>
      </c>
    </row>
    <row r="24" spans="1:20">
      <c r="D24" s="56">
        <v>12.85</v>
      </c>
      <c r="E24" s="9">
        <f t="shared" si="0"/>
        <v>4.4937394915650151</v>
      </c>
      <c r="F24" s="36">
        <f t="shared" si="1"/>
        <v>57.744552466610443</v>
      </c>
      <c r="G24" s="36">
        <f t="shared" si="2"/>
        <v>48.109832865068121</v>
      </c>
      <c r="H24" s="9">
        <f t="shared" si="3"/>
        <v>83.314928958686806</v>
      </c>
      <c r="I24" s="37">
        <f t="shared" si="4"/>
        <v>4695.1616892525826</v>
      </c>
      <c r="J24" s="38">
        <f t="shared" si="5"/>
        <v>48.10983286507016</v>
      </c>
      <c r="K24" s="66">
        <f t="shared" si="6"/>
        <v>639.77662067644769</v>
      </c>
      <c r="L24" s="2">
        <f t="shared" si="7"/>
        <v>11.079428159849103</v>
      </c>
      <c r="M24" s="38">
        <f t="shared" si="8"/>
        <v>62.213696585979093</v>
      </c>
      <c r="N24" s="38">
        <f t="shared" si="9"/>
        <v>55.889096836243787</v>
      </c>
      <c r="O24" s="38">
        <f t="shared" si="10"/>
        <v>17.357481479825452</v>
      </c>
      <c r="P24" s="34">
        <f t="shared" si="11"/>
        <v>20.582078968210514</v>
      </c>
    </row>
    <row r="25" spans="1:20">
      <c r="D25" s="60">
        <v>10.1</v>
      </c>
      <c r="E25" s="17">
        <f>(0.5+(0.00000036*$B$16*$B$19^3*($B$13*0.0254)*($B$12*0.0254)^4)*($B$20+$B$21)*$D25-(0.25-(0.00000036*$B$16*$B$19^3*($B$13*0.0254)*($B$12*0.0254)^4)*(($B$20+$B$21)^2*$B$14-($B$20+$B$21)*$D25))^(1/2))/((0.00000036*$B$16*$B$19^3*($B$13*0.0254)*($B$12*0.0254)^4)*($B$20+$B$21)^2)</f>
        <v>3.0327727884645301</v>
      </c>
      <c r="F25" s="61">
        <f>D25*E25</f>
        <v>30.631005163491754</v>
      </c>
      <c r="G25" s="61">
        <f>(D25-($B$20+$B$21)*E25)*(E25-$B$14)</f>
        <v>23.759419981020812</v>
      </c>
      <c r="H25" s="61">
        <f>G25/F25*100</f>
        <v>77.566569736141105</v>
      </c>
      <c r="I25" s="62">
        <f>$B$19*(D25-(E25*($B$20+$B$21)))</f>
        <v>3711.2300974421828</v>
      </c>
      <c r="J25" s="38">
        <f>(($B$12*0.0254)^4)*($B$13*0.0254)*(I25^3)*2*$B$16*0.00000018</f>
        <v>23.759419981021122</v>
      </c>
      <c r="K25" s="38">
        <f>$K$11*0.6*((0.6*3.1416*($B$12*0.0254)^2*J25^2)^(1/3))/9.81*1000</f>
        <v>399.72657566051828</v>
      </c>
      <c r="L25" s="38">
        <f>K25/F25</f>
        <v>13.049737464604698</v>
      </c>
      <c r="M25" s="38">
        <f>1.30652287/($B$12*0.0254)*POWER(K25*0.00981,3/2)</f>
        <v>30.724724193155701</v>
      </c>
      <c r="N25" s="38">
        <f>POWER(I25/$B$15,3)*100</f>
        <v>27.601270780060911</v>
      </c>
      <c r="O25" s="38">
        <f>0.65*60*O$10/E25</f>
        <v>25.719038464299466</v>
      </c>
      <c r="P25" s="34">
        <f>($B$20*$B$14+SQRT($B$20^2*$B$14^2+4*$B$20*($R$9-(D25*$B$14))))/(2*$B$20)</f>
        <v>20.948552667747133</v>
      </c>
    </row>
    <row r="27" spans="1:20">
      <c r="D27" s="36"/>
      <c r="E27" s="9"/>
      <c r="F27" s="9"/>
      <c r="G27" s="36"/>
      <c r="H27" s="9"/>
      <c r="I27" s="36"/>
      <c r="J27" s="36"/>
      <c r="K27" s="36"/>
      <c r="L27" s="9"/>
      <c r="M27" s="36"/>
      <c r="N27" s="36"/>
      <c r="O27" s="36"/>
      <c r="P27" s="88"/>
    </row>
    <row r="28" spans="1:20">
      <c r="D28" s="36"/>
      <c r="E28" s="9"/>
      <c r="F28" s="9"/>
      <c r="G28" s="36"/>
      <c r="H28" s="9"/>
      <c r="I28" s="36"/>
      <c r="J28" s="36"/>
      <c r="K28" s="36"/>
      <c r="L28" s="9"/>
      <c r="M28" s="36"/>
      <c r="N28" s="36"/>
      <c r="O28" s="36"/>
      <c r="P28" s="88"/>
    </row>
    <row r="29" spans="1:20">
      <c r="D29" s="36"/>
      <c r="E29" s="9"/>
      <c r="F29" s="9"/>
      <c r="G29" s="36"/>
      <c r="H29" s="9"/>
      <c r="I29" s="36"/>
      <c r="J29" s="36"/>
      <c r="K29" s="36"/>
      <c r="L29" s="9"/>
      <c r="M29" s="36"/>
      <c r="N29" s="36"/>
      <c r="O29" s="36"/>
      <c r="P29" s="88"/>
    </row>
    <row r="30" spans="1:20">
      <c r="H30" s="57" t="s">
        <v>141</v>
      </c>
      <c r="I30" s="90"/>
      <c r="J30" s="90"/>
      <c r="K30" s="91"/>
    </row>
    <row r="31" spans="1:20">
      <c r="O31" s="186" t="s">
        <v>407</v>
      </c>
      <c r="P31" s="186"/>
    </row>
    <row r="32" spans="1:20">
      <c r="D32" s="2"/>
      <c r="E32" s="2"/>
      <c r="F32" s="2"/>
      <c r="G32" s="2"/>
      <c r="H32" s="2"/>
      <c r="I32" s="2"/>
      <c r="J32" s="2"/>
      <c r="K32" s="4" t="s">
        <v>142</v>
      </c>
      <c r="L32" s="2"/>
      <c r="M32" s="2"/>
      <c r="N32" s="2"/>
      <c r="O32" s="89">
        <v>1.25</v>
      </c>
      <c r="P32" s="89" t="s">
        <v>394</v>
      </c>
    </row>
    <row r="33" spans="1:16">
      <c r="D33" s="2"/>
      <c r="E33" s="2"/>
      <c r="F33" s="2"/>
      <c r="G33" s="2"/>
      <c r="H33" s="2"/>
      <c r="I33" s="2"/>
      <c r="J33" s="2"/>
      <c r="K33" s="4">
        <v>1.34</v>
      </c>
      <c r="M33" s="2" t="s">
        <v>113</v>
      </c>
      <c r="N33" s="2" t="s">
        <v>113</v>
      </c>
      <c r="O33" s="89" t="s">
        <v>116</v>
      </c>
    </row>
    <row r="34" spans="1:16">
      <c r="A34" s="5" t="s">
        <v>249</v>
      </c>
      <c r="B34" s="5">
        <v>13</v>
      </c>
      <c r="D34" s="11" t="s">
        <v>425</v>
      </c>
      <c r="E34" s="12" t="s">
        <v>426</v>
      </c>
      <c r="F34" s="12" t="s">
        <v>262</v>
      </c>
      <c r="G34" s="12" t="s">
        <v>127</v>
      </c>
      <c r="H34" s="12" t="s">
        <v>128</v>
      </c>
      <c r="I34" s="13" t="s">
        <v>129</v>
      </c>
      <c r="J34" s="2" t="s">
        <v>24</v>
      </c>
      <c r="K34" s="2" t="s">
        <v>25</v>
      </c>
      <c r="L34" s="9" t="s">
        <v>26</v>
      </c>
      <c r="M34" s="9" t="s">
        <v>133</v>
      </c>
      <c r="N34" s="9" t="s">
        <v>268</v>
      </c>
      <c r="O34" s="89" t="s">
        <v>118</v>
      </c>
      <c r="P34" t="s">
        <v>137</v>
      </c>
    </row>
    <row r="35" spans="1:16">
      <c r="A35" s="5" t="s">
        <v>143</v>
      </c>
      <c r="B35" s="5">
        <v>6.5</v>
      </c>
      <c r="D35" s="35">
        <v>24.2</v>
      </c>
      <c r="E35" s="9">
        <f>(0.5+(0.00000036*$B$38*$B$19^3*($B$35*0.0254)*($B$34*0.0254)^4)*($B$20+$B$21)*$D35-(0.25-(0.00000036*$B$38*$B$19^3*($B$35*0.0254)*($B$34*0.0254)^4)*(($B$20+$B$21)^2*$B$14-($B$20+$B$21)*$D35))^(1/2))/((0.00000036*$B$38*$B$19^3*($B$35*0.0254)*($B$34*0.0254)^4)*($B$20+$B$21)^2)</f>
        <v>20.409731911048638</v>
      </c>
      <c r="F35" s="36">
        <f t="shared" ref="F35:F44" si="12">D35*E35</f>
        <v>493.91551224737702</v>
      </c>
      <c r="G35" s="36">
        <f t="shared" ref="G35:G44" si="13">(D35-($B$20+$B$21)*E35)*(E35-$B$14)</f>
        <v>434.92126731860975</v>
      </c>
      <c r="H35" s="9">
        <f t="shared" ref="H35:H44" si="14">G35/F35*100</f>
        <v>88.05580236580623</v>
      </c>
      <c r="I35" s="37">
        <f t="shared" ref="I35:I44" si="15">$B$19*(D35-(E35*($B$20+$B$21)))</f>
        <v>8342.8732061181672</v>
      </c>
      <c r="J35" s="38">
        <f t="shared" ref="J35:J44" si="16">(($B$34*0.0254)^4)*($B$35*0.0254)*(I35^3)*2*$B$38*0.00000018</f>
        <v>434.92126731861055</v>
      </c>
      <c r="K35" s="36">
        <f t="shared" ref="K35:K44" si="17">$K$33*0.6*((0.6*3.1416*($B$34*0.0254)^2*J35^2)^(1/3))/9.81*1000</f>
        <v>2776.3841949316143</v>
      </c>
      <c r="L35" s="2">
        <f t="shared" ref="L35:L44" si="18">K35/F35</f>
        <v>5.6211722978667362</v>
      </c>
      <c r="M35" s="38">
        <f t="shared" ref="M35:M44" si="19">1.30652287/($B$34*0.0254)*POWER(K35*0.00981,3/2)</f>
        <v>562.42265151153526</v>
      </c>
      <c r="N35" s="38">
        <f t="shared" ref="N35:N44" si="20">POWER(I35/$B$37,3)*100</f>
        <v>502.75922280987498</v>
      </c>
      <c r="O35" s="38">
        <f t="shared" ref="O35:O44" si="21">0.65*60*O$10/E35</f>
        <v>3.8217062497413479</v>
      </c>
      <c r="P35" s="33">
        <f t="shared" ref="P35:P44" si="22">($B$20*$B$14+SQRT($B$20^2*$B$14^2+4*$B$20*($R$9-(D35*$B$14))))/(2*$B$20)</f>
        <v>18.993679048374517</v>
      </c>
    </row>
    <row r="36" spans="1:16">
      <c r="A36" s="94"/>
      <c r="B36" s="5"/>
      <c r="D36" s="56">
        <v>22.2</v>
      </c>
      <c r="E36" s="9">
        <f>(0.5+(0.00000036*$B$38*$B$19^3*($B$35*0.0254)*($B$34*0.0254)^4)*($B$20+$B$21)*$D36-(0.25-(0.00000036*$B$38*$B$19^3*($B$35*0.0254)*($B$34*0.0254)^4)*(($B$20+$B$21)^2*$B$14-($B$20+$B$21)*$D36))^(1/2))/((0.00000036*$B$38*$B$19^3*($B$35*0.0254)*($B$34*0.0254)^4)*($B$20+$B$21)^2)</f>
        <v>17.495052482604706</v>
      </c>
      <c r="F36" s="36">
        <f t="shared" si="12"/>
        <v>388.39016511382448</v>
      </c>
      <c r="G36" s="36">
        <f t="shared" si="13"/>
        <v>342.5563838270761</v>
      </c>
      <c r="H36" s="36">
        <f t="shared" si="14"/>
        <v>88.199036586491317</v>
      </c>
      <c r="I36" s="37">
        <f t="shared" si="15"/>
        <v>7704.7068062271228</v>
      </c>
      <c r="J36" s="38">
        <f t="shared" si="16"/>
        <v>342.55638382707781</v>
      </c>
      <c r="K36" s="121">
        <f t="shared" si="17"/>
        <v>2367.8844769767975</v>
      </c>
      <c r="L36" s="38">
        <f t="shared" si="18"/>
        <v>6.0966643588486535</v>
      </c>
      <c r="M36" s="38">
        <f t="shared" si="19"/>
        <v>442.98010734685499</v>
      </c>
      <c r="N36" s="38">
        <f t="shared" si="20"/>
        <v>395.98749070897259</v>
      </c>
      <c r="O36" s="38">
        <f t="shared" si="21"/>
        <v>4.4584033158834613</v>
      </c>
      <c r="P36" s="34">
        <f t="shared" si="22"/>
        <v>19.283222257370515</v>
      </c>
    </row>
    <row r="37" spans="1:16">
      <c r="A37" s="4" t="s">
        <v>144</v>
      </c>
      <c r="B37" s="4">
        <v>4870</v>
      </c>
      <c r="D37" s="56">
        <v>16.95</v>
      </c>
      <c r="E37" s="9">
        <f>(0.5+(0.00000036*$B$38*$B$19^3*($B$35*0.0254)*($B$34*0.0254)^4)*($B$20+$B$21)*$D37-(0.25-(0.00000036*$B$38*$B$19^3*($B$35*0.0254)*($B$34*0.0254)^4)*(($B$20+$B$21)^2*$B$14-($B$20+$B$21)*$D37))^(1/2))/((0.00000036*$B$38*$B$19^3*($B$35*0.0254)*($B$34*0.0254)^4)*($B$20+$B$21)^2)</f>
        <v>10.808987453488513</v>
      </c>
      <c r="F37" s="36">
        <f t="shared" si="12"/>
        <v>183.21233733663027</v>
      </c>
      <c r="G37" s="36">
        <f t="shared" si="13"/>
        <v>160.90396743389658</v>
      </c>
      <c r="H37" s="9">
        <f t="shared" si="14"/>
        <v>87.823762183796177</v>
      </c>
      <c r="I37" s="37">
        <f t="shared" si="15"/>
        <v>5989.1843244441798</v>
      </c>
      <c r="J37" s="38">
        <f t="shared" si="16"/>
        <v>160.90396743389834</v>
      </c>
      <c r="K37" s="65">
        <f t="shared" si="17"/>
        <v>1430.8154971199965</v>
      </c>
      <c r="L37" s="2">
        <f t="shared" si="18"/>
        <v>7.8096023331171631</v>
      </c>
      <c r="M37" s="38">
        <f t="shared" si="19"/>
        <v>208.07452475439445</v>
      </c>
      <c r="N37" s="38">
        <f t="shared" si="20"/>
        <v>186.00137471509339</v>
      </c>
      <c r="O37" s="38">
        <f t="shared" si="21"/>
        <v>7.2162170911602024</v>
      </c>
      <c r="P37" s="34">
        <f t="shared" si="22"/>
        <v>20.023059876933164</v>
      </c>
    </row>
    <row r="38" spans="1:16">
      <c r="A38" s="4" t="s">
        <v>145</v>
      </c>
      <c r="B38" s="4">
        <v>1.06</v>
      </c>
      <c r="D38" s="56">
        <v>16</v>
      </c>
      <c r="E38" s="9">
        <f>(0.5+(0.00000036*$B$38*$B$19^3*($B$35*0.0254)*($B$34*0.0254)^4)*($B$20+$B$21)*$D38-(0.25-(0.00000036*$B$38*$B$19^3*($B$35*0.0254)*($B$34*0.0254)^4)*(($B$20+$B$21)^2*$B$14-($B$20+$B$21)*$D38))^(1/2))/((0.00000036*$B$38*$B$19^3*($B$35*0.0254)*($B$34*0.0254)^4)*($B$20+$B$21)^2)</f>
        <v>9.7568262106015613</v>
      </c>
      <c r="F38" s="36">
        <f t="shared" si="12"/>
        <v>156.10921936962498</v>
      </c>
      <c r="G38" s="36">
        <f t="shared" si="13"/>
        <v>136.68164755209773</v>
      </c>
      <c r="H38" s="36">
        <f t="shared" si="14"/>
        <v>87.555141268416733</v>
      </c>
      <c r="I38" s="37">
        <f t="shared" si="15"/>
        <v>5672.1646643968552</v>
      </c>
      <c r="J38" s="38">
        <f t="shared" si="16"/>
        <v>136.68164755209918</v>
      </c>
      <c r="K38" s="64">
        <f t="shared" si="17"/>
        <v>1283.3524290488076</v>
      </c>
      <c r="L38" s="38">
        <f t="shared" si="18"/>
        <v>8.2208625104336175</v>
      </c>
      <c r="M38" s="38">
        <f t="shared" si="19"/>
        <v>176.75119706873741</v>
      </c>
      <c r="N38" s="38">
        <f t="shared" si="20"/>
        <v>158.00091662412521</v>
      </c>
      <c r="O38" s="38">
        <f t="shared" si="21"/>
        <v>7.9944029253331221</v>
      </c>
      <c r="P38" s="34">
        <f t="shared" si="22"/>
        <v>20.153989752463087</v>
      </c>
    </row>
    <row r="39" spans="1:16">
      <c r="A39" s="5"/>
      <c r="B39" s="5"/>
      <c r="D39" s="56">
        <v>15</v>
      </c>
      <c r="E39" s="9">
        <f t="shared" ref="E39:E43" si="23">(0.5+(0.00000036*$B$38*$B$19^3*($B$35*0.0254)*($B$34*0.0254)^4)*($B$20+$B$21)*$D39-(0.25-(0.00000036*$B$38*$B$19^3*($B$35*0.0254)*($B$34*0.0254)^4)*(($B$20+$B$21)^2*$B$14-($B$20+$B$21)*$D39))^(1/2))/((0.00000036*$B$38*$B$19^3*($B$35*0.0254)*($B$34*0.0254)^4)*($B$20+$B$21)^2)</f>
        <v>8.7041266498097869</v>
      </c>
      <c r="F39" s="36">
        <f t="shared" ref="F39:F43" si="24">D39*E39</f>
        <v>130.56189974714681</v>
      </c>
      <c r="G39" s="36">
        <f t="shared" ref="G39:G43" si="25">(D39-($B$20+$B$21)*E39)*(E39-$B$14)</f>
        <v>113.80257182508207</v>
      </c>
      <c r="H39" s="9">
        <f t="shared" ref="H39:H43" si="26">G39/F39*100</f>
        <v>87.163691739686882</v>
      </c>
      <c r="I39" s="37">
        <f t="shared" ref="I39:I43" si="27">$B$19*(D39-(E39*($B$20+$B$21)))</f>
        <v>5336.1675060379512</v>
      </c>
      <c r="J39" s="38">
        <f t="shared" ref="J39:J43" si="28">(($B$34*0.0254)^4)*($B$35*0.0254)*(I39^3)*2*$B$38*0.00000018</f>
        <v>113.80257182508396</v>
      </c>
      <c r="K39" s="64">
        <f t="shared" ref="K39:K43" si="29">$K$33*0.6*((0.6*3.1416*($B$34*0.0254)^2*J39^2)^(1/3))/9.81*1000</f>
        <v>1135.8139143572723</v>
      </c>
      <c r="L39" s="2">
        <f t="shared" ref="L39:L43" si="30">K39/F39</f>
        <v>8.6994285205481123</v>
      </c>
      <c r="M39" s="38">
        <f t="shared" ref="M39:M43" si="31">1.30652287/($B$34*0.0254)*POWER(K39*0.00981,3/2)</f>
        <v>147.16489857877508</v>
      </c>
      <c r="N39" s="38">
        <f t="shared" ref="N39:N43" si="32">POWER(I39/$B$37,3)*100</f>
        <v>131.5532186257287</v>
      </c>
      <c r="O39" s="38">
        <f t="shared" ref="O39:O43" si="33">0.65*60*O$10/E39</f>
        <v>8.9612666655883917</v>
      </c>
      <c r="P39" s="34">
        <f t="shared" ref="P39:P43" si="34">($B$20*$B$14+SQRT($B$20^2*$B$14^2+4*$B$20*($R$9-(D39*$B$14))))/(2*$B$20)</f>
        <v>20.290884286230426</v>
      </c>
    </row>
    <row r="40" spans="1:16">
      <c r="A40" s="5"/>
      <c r="B40" s="5"/>
      <c r="D40" s="56">
        <v>14</v>
      </c>
      <c r="E40" s="9">
        <f t="shared" si="23"/>
        <v>7.7088573855659117</v>
      </c>
      <c r="F40" s="36">
        <f t="shared" si="24"/>
        <v>107.92400339792276</v>
      </c>
      <c r="G40" s="36">
        <f t="shared" si="25"/>
        <v>93.495874944360779</v>
      </c>
      <c r="H40" s="36">
        <f t="shared" si="26"/>
        <v>86.631214559040643</v>
      </c>
      <c r="I40" s="37">
        <f t="shared" si="27"/>
        <v>4997.7697612833454</v>
      </c>
      <c r="J40" s="38">
        <f t="shared" si="28"/>
        <v>93.495874944362313</v>
      </c>
      <c r="K40" s="64">
        <f t="shared" si="29"/>
        <v>996.32440145746443</v>
      </c>
      <c r="L40" s="38">
        <f t="shared" si="30"/>
        <v>9.2317220459655491</v>
      </c>
      <c r="M40" s="38">
        <f t="shared" si="31"/>
        <v>120.90509672197184</v>
      </c>
      <c r="N40" s="38">
        <f t="shared" si="32"/>
        <v>108.07913283422337</v>
      </c>
      <c r="O40" s="38">
        <f t="shared" si="33"/>
        <v>10.118231029419151</v>
      </c>
      <c r="P40" s="34">
        <f t="shared" si="34"/>
        <v>20.426847741263408</v>
      </c>
    </row>
    <row r="41" spans="1:16">
      <c r="A41" s="5"/>
      <c r="B41" s="5"/>
      <c r="D41" s="56">
        <v>13.574999999999999</v>
      </c>
      <c r="E41" s="9">
        <f t="shared" si="23"/>
        <v>7.3035626520695631</v>
      </c>
      <c r="F41" s="36">
        <f t="shared" si="24"/>
        <v>99.145863001844319</v>
      </c>
      <c r="G41" s="36">
        <f t="shared" si="25"/>
        <v>85.615275121483322</v>
      </c>
      <c r="H41" s="9">
        <f t="shared" si="26"/>
        <v>86.352846734402519</v>
      </c>
      <c r="I41" s="37">
        <f t="shared" si="27"/>
        <v>4853.2110811434923</v>
      </c>
      <c r="J41" s="38">
        <f t="shared" si="28"/>
        <v>85.615275121482298</v>
      </c>
      <c r="K41" s="65">
        <f t="shared" si="29"/>
        <v>939.52131611428342</v>
      </c>
      <c r="L41" s="2">
        <f t="shared" si="30"/>
        <v>9.4761524855233379</v>
      </c>
      <c r="M41" s="38">
        <f t="shared" si="31"/>
        <v>110.71422269272225</v>
      </c>
      <c r="N41" s="38">
        <f t="shared" si="32"/>
        <v>98.969336326331913</v>
      </c>
      <c r="O41" s="38">
        <f t="shared" si="33"/>
        <v>10.679719434993503</v>
      </c>
      <c r="P41" s="34">
        <f t="shared" si="34"/>
        <v>20.484354877433706</v>
      </c>
    </row>
    <row r="42" spans="1:16">
      <c r="A42" s="5"/>
      <c r="B42" s="5"/>
      <c r="D42" s="56">
        <v>13</v>
      </c>
      <c r="E42" s="9">
        <f t="shared" si="23"/>
        <v>6.7722672555634613</v>
      </c>
      <c r="F42" s="36">
        <f t="shared" si="24"/>
        <v>88.039474322324992</v>
      </c>
      <c r="G42" s="36">
        <f t="shared" si="25"/>
        <v>75.641447545306718</v>
      </c>
      <c r="H42" s="36">
        <f t="shared" si="26"/>
        <v>85.917650153580723</v>
      </c>
      <c r="I42" s="37">
        <f t="shared" si="27"/>
        <v>4656.9192287174474</v>
      </c>
      <c r="J42" s="38">
        <f t="shared" si="28"/>
        <v>75.641447545305766</v>
      </c>
      <c r="K42" s="64">
        <f t="shared" si="29"/>
        <v>865.05891812106574</v>
      </c>
      <c r="L42" s="38">
        <f t="shared" si="30"/>
        <v>9.8258073980992027</v>
      </c>
      <c r="M42" s="38">
        <f t="shared" si="31"/>
        <v>97.816470909518046</v>
      </c>
      <c r="N42" s="38">
        <f t="shared" si="32"/>
        <v>87.439815520064244</v>
      </c>
      <c r="O42" s="38">
        <f t="shared" si="33"/>
        <v>11.517560819225274</v>
      </c>
      <c r="P42" s="34">
        <f t="shared" si="34"/>
        <v>20.561898861028439</v>
      </c>
    </row>
    <row r="43" spans="1:16">
      <c r="A43" s="5"/>
      <c r="B43" s="5"/>
      <c r="D43" s="56">
        <v>12</v>
      </c>
      <c r="E43" s="9">
        <f t="shared" si="23"/>
        <v>5.8956510250602703</v>
      </c>
      <c r="F43" s="36">
        <f t="shared" si="24"/>
        <v>70.74781230072324</v>
      </c>
      <c r="G43" s="36">
        <f t="shared" si="25"/>
        <v>60.113468157354859</v>
      </c>
      <c r="H43" s="9">
        <f t="shared" si="26"/>
        <v>84.968660093451859</v>
      </c>
      <c r="I43" s="37">
        <f t="shared" si="27"/>
        <v>4313.561787152481</v>
      </c>
      <c r="J43" s="38">
        <f t="shared" si="28"/>
        <v>60.113468157353957</v>
      </c>
      <c r="K43" s="64">
        <f t="shared" si="29"/>
        <v>742.19892898450598</v>
      </c>
      <c r="L43" s="2">
        <f t="shared" si="30"/>
        <v>10.490768616698535</v>
      </c>
      <c r="M43" s="38">
        <f t="shared" si="31"/>
        <v>77.736313887464277</v>
      </c>
      <c r="N43" s="38">
        <f t="shared" si="32"/>
        <v>69.489819887463085</v>
      </c>
      <c r="O43" s="38">
        <f t="shared" si="33"/>
        <v>13.230091073649092</v>
      </c>
      <c r="P43" s="34">
        <f t="shared" si="34"/>
        <v>20.696055768434515</v>
      </c>
    </row>
    <row r="44" spans="1:16">
      <c r="A44" s="2"/>
      <c r="B44" s="2"/>
      <c r="D44" s="56">
        <v>11.105</v>
      </c>
      <c r="E44" s="9">
        <f>(0.5+(0.00000036*$B$38*$B$19^3*($B$35*0.0254)*($B$34*0.0254)^4)*($B$20+$B$21)*$D44-(0.25-(0.00000036*$B$38*$B$19^3*($B$35*0.0254)*($B$34*0.0254)^4)*(($B$20+$B$21)^2*$B$14-($B$20+$B$21)*$D44))^(1/2))/((0.00000036*$B$38*$B$19^3*($B$35*0.0254)*($B$34*0.0254)^4)*($B$20+$B$21)^2)</f>
        <v>5.1630361306522881</v>
      </c>
      <c r="F44" s="36">
        <f t="shared" si="12"/>
        <v>57.33551623089366</v>
      </c>
      <c r="G44" s="36">
        <f t="shared" si="13"/>
        <v>48.081012986010414</v>
      </c>
      <c r="H44" s="9">
        <f t="shared" si="14"/>
        <v>83.859039120508143</v>
      </c>
      <c r="I44" s="37">
        <f t="shared" si="15"/>
        <v>4004.0850897387345</v>
      </c>
      <c r="J44" s="38">
        <f t="shared" si="16"/>
        <v>48.081012986011736</v>
      </c>
      <c r="K44" s="66">
        <f t="shared" si="17"/>
        <v>639.52109250804222</v>
      </c>
      <c r="L44" s="2">
        <f t="shared" si="18"/>
        <v>11.154012984424023</v>
      </c>
      <c r="M44" s="38">
        <f t="shared" si="19"/>
        <v>62.176427880090806</v>
      </c>
      <c r="N44" s="38">
        <f t="shared" si="20"/>
        <v>55.580571788985914</v>
      </c>
      <c r="O44" s="38">
        <f t="shared" si="21"/>
        <v>15.107389920617431</v>
      </c>
      <c r="P44" s="34">
        <f t="shared" si="22"/>
        <v>20.8153822555396</v>
      </c>
    </row>
    <row r="45" spans="1:16">
      <c r="D45" s="60">
        <v>9</v>
      </c>
      <c r="E45" s="17">
        <f>(0.5+(0.00000036*$B$38*$B$19^3*($B$35*0.0254)*($B$34*0.0254)^4)*($B$20+$B$21)*$D45-(0.25-(0.00000036*$B$38*$B$19^3*($B$35*0.0254)*($B$34*0.0254)^4)*(($B$20+$B$21)^2*$B$14-($B$20+$B$21)*$D45))^(1/2))/((0.00000036*$B$38*$B$19^3*($B$35*0.0254)*($B$34*0.0254)^4)*($B$20+$B$21)^2)</f>
        <v>3.6393338570451386</v>
      </c>
      <c r="F45" s="61">
        <f>D45*E45</f>
        <v>32.754004713406246</v>
      </c>
      <c r="G45" s="61">
        <f>(D45-($B$20+$B$21)*E45)*(E45-$B$14)</f>
        <v>26.137278146437371</v>
      </c>
      <c r="H45" s="17">
        <f>G45/F45*100</f>
        <v>79.798724996028824</v>
      </c>
      <c r="I45" s="62">
        <f>$B$19*(D45-(E45*($B$20+$B$21)))</f>
        <v>3267.8758447755131</v>
      </c>
      <c r="J45" s="38">
        <f>(($B$34*0.0254)^4)*($B$35*0.0254)*(I45^3)*2*$B$38*0.00000018</f>
        <v>26.137278146437879</v>
      </c>
      <c r="K45" s="36">
        <f>$K$33*0.6*((0.6*3.1416*($B$34*0.0254)^2*J45^2)^(1/3))/9.81*1000</f>
        <v>425.97035243644171</v>
      </c>
      <c r="L45" s="2">
        <f>K45/F45</f>
        <v>13.005138033154513</v>
      </c>
      <c r="M45" s="38">
        <f>1.30652287/($B$34*0.0254)*POWER(K45*0.00981,3/2)</f>
        <v>33.799674522803137</v>
      </c>
      <c r="N45" s="38">
        <f>POWER(I45/$B$37,3)*100</f>
        <v>30.214106861879674</v>
      </c>
      <c r="O45" s="38">
        <f>0.65*60*O$10/E45</f>
        <v>21.432493710079694</v>
      </c>
      <c r="P45" s="34">
        <f>($B$20*$B$14+SQRT($B$20^2*$B$14^2+4*$B$20*($R$9-(D45*$B$14))))/(2*$B$20)</f>
        <v>21.093333721958277</v>
      </c>
    </row>
    <row r="48" spans="1:16">
      <c r="D48" s="36"/>
      <c r="E48" s="9"/>
      <c r="F48" s="9"/>
      <c r="G48" s="36"/>
      <c r="H48" s="9"/>
      <c r="I48" s="36"/>
      <c r="J48" s="36"/>
      <c r="K48" s="36"/>
      <c r="L48" s="9"/>
      <c r="M48" s="36"/>
      <c r="N48" s="36"/>
      <c r="O48" s="36"/>
      <c r="P48" s="88"/>
    </row>
    <row r="50" spans="1:16">
      <c r="H50" s="57" t="s">
        <v>280</v>
      </c>
      <c r="I50" s="90"/>
      <c r="J50" s="90"/>
      <c r="K50" s="91"/>
    </row>
    <row r="51" spans="1:16">
      <c r="O51" s="186" t="s">
        <v>407</v>
      </c>
      <c r="P51" s="186"/>
    </row>
    <row r="52" spans="1:16">
      <c r="D52" s="2"/>
      <c r="E52" s="2"/>
      <c r="F52" s="2"/>
      <c r="G52" s="2"/>
      <c r="H52" s="2"/>
      <c r="I52" s="2"/>
      <c r="J52" s="2"/>
      <c r="K52" s="4" t="s">
        <v>397</v>
      </c>
      <c r="L52" s="2"/>
      <c r="M52" s="2"/>
      <c r="N52" s="2"/>
      <c r="O52" s="89">
        <v>1.25</v>
      </c>
      <c r="P52" s="89" t="s">
        <v>394</v>
      </c>
    </row>
    <row r="53" spans="1:16">
      <c r="D53" s="2"/>
      <c r="E53" s="2"/>
      <c r="F53" s="2"/>
      <c r="G53" s="2"/>
      <c r="H53" s="2"/>
      <c r="I53" s="2"/>
      <c r="J53" s="2"/>
      <c r="K53" s="4">
        <v>1.165</v>
      </c>
      <c r="M53" s="2" t="s">
        <v>398</v>
      </c>
      <c r="N53" s="2" t="s">
        <v>399</v>
      </c>
      <c r="O53" s="89" t="s">
        <v>116</v>
      </c>
    </row>
    <row r="54" spans="1:16">
      <c r="A54" s="5" t="s">
        <v>400</v>
      </c>
      <c r="B54" s="5">
        <v>14</v>
      </c>
      <c r="D54" s="11" t="s">
        <v>425</v>
      </c>
      <c r="E54" s="12" t="s">
        <v>426</v>
      </c>
      <c r="F54" s="12" t="s">
        <v>262</v>
      </c>
      <c r="G54" s="12" t="s">
        <v>127</v>
      </c>
      <c r="H54" s="12" t="s">
        <v>128</v>
      </c>
      <c r="I54" s="13" t="s">
        <v>129</v>
      </c>
      <c r="J54" s="2" t="s">
        <v>24</v>
      </c>
      <c r="K54" s="2" t="s">
        <v>25</v>
      </c>
      <c r="L54" s="9" t="s">
        <v>26</v>
      </c>
      <c r="M54" s="9" t="s">
        <v>133</v>
      </c>
      <c r="N54" s="9" t="s">
        <v>268</v>
      </c>
      <c r="O54" s="89" t="s">
        <v>118</v>
      </c>
      <c r="P54" t="s">
        <v>137</v>
      </c>
    </row>
    <row r="55" spans="1:16">
      <c r="A55" s="5" t="s">
        <v>143</v>
      </c>
      <c r="B55" s="5">
        <v>4.7</v>
      </c>
      <c r="D55" s="35">
        <v>25.8</v>
      </c>
      <c r="E55" s="9">
        <f>(0.5+(0.00000036*$B$58*$B$19^3*($B$55*0.0254)*($B$54*0.0254)^4)*($B$20+$B$21)*$D55-(0.25-(0.00000036*$B$58*$B$19^3*($B$55*0.0254)*($B$54*0.0254)^4)*(($B$20+$B$21)^2*$B$14-($B$20+$B$21)*$D55))^(1/2))/((0.00000036*$B$58*$B$19^3*($B$55*0.0254)*($B$54*0.0254)^4)*($B$20+$B$21)^2)</f>
        <v>20.235483159645021</v>
      </c>
      <c r="F55" s="36">
        <f t="shared" ref="F55:F57" si="35">D55*E55</f>
        <v>522.07546551884161</v>
      </c>
      <c r="G55" s="36">
        <f t="shared" ref="G55:G57" si="36">(D55-($B$20+$B$21)*E55)*(E55-$B$14)</f>
        <v>462.88878174990759</v>
      </c>
      <c r="H55" s="9">
        <f t="shared" ref="H55:H57" si="37">G55/F55*100</f>
        <v>88.663193795151059</v>
      </c>
      <c r="I55" s="37">
        <f t="shared" ref="I55:I57" si="38">$B$19*(D55-(E55*($B$20+$B$21)))</f>
        <v>8958.1568039268386</v>
      </c>
      <c r="J55" s="38">
        <f t="shared" ref="J55:J57" si="39">(($B$54*0.0254)^4)*($B$55*0.0254)*(I55^3)*2*$B$58*0.00000018</f>
        <v>462.88878174990555</v>
      </c>
      <c r="K55" s="36">
        <f>$K$53*0.6*((0.6*3.1416*($B$54*0.0254)^2*J55^2)^(1/3))/9.81*1000</f>
        <v>2643.632931588902</v>
      </c>
      <c r="L55" s="2">
        <f t="shared" ref="L55:L57" si="40">K55/F55</f>
        <v>5.0636988446902871</v>
      </c>
      <c r="M55" s="38">
        <f t="shared" ref="M55:M57" si="41">1.30652287/($B$54*0.0254)*POWER(K55*0.00981,3/2)</f>
        <v>485.24436954238348</v>
      </c>
      <c r="N55" s="38">
        <f t="shared" ref="N55:N57" si="42">POWER(I55/$B$57,3)*100</f>
        <v>511.2648662419561</v>
      </c>
      <c r="O55" s="38">
        <f t="shared" ref="O55:O57" si="43">0.65*60*O$10/E55</f>
        <v>3.8546151522367853</v>
      </c>
      <c r="P55" s="33">
        <f t="shared" ref="P55:P57" si="44">($B$20*$B$14+SQRT($B$20^2*$B$14^2+4*$B$20*($R$9-(D55*$B$14))))/(2*$B$20)</f>
        <v>18.758774705715535</v>
      </c>
    </row>
    <row r="56" spans="1:16">
      <c r="A56" s="94"/>
      <c r="B56" s="5"/>
      <c r="D56" s="56">
        <v>22.2</v>
      </c>
      <c r="E56" s="9">
        <f>(0.5+(0.00000036*$B$58*$B$19^3*($B$55*0.0254)*($B$54*0.0254)^4)*($B$20+$B$21)*$D56-(0.25-(0.00000036*$B$58*$B$19^3*($B$55*0.0254)*($B$54*0.0254)^4)*(($B$20+$B$21)^2*$B$14-($B$20+$B$21)*$D56))^(1/2))/((0.00000036*$B$58*$B$19^3*($B$55*0.0254)*($B$54*0.0254)^4)*($B$20+$B$21)^2)</f>
        <v>15.44923078943769</v>
      </c>
      <c r="F56" s="36">
        <f t="shared" si="35"/>
        <v>342.97292352551671</v>
      </c>
      <c r="G56" s="36">
        <f t="shared" si="36"/>
        <v>304.41791223923553</v>
      </c>
      <c r="H56" s="36">
        <f t="shared" si="37"/>
        <v>88.758584529075009</v>
      </c>
      <c r="I56" s="37">
        <f t="shared" si="38"/>
        <v>7790.222153001504</v>
      </c>
      <c r="J56" s="38">
        <f t="shared" si="39"/>
        <v>304.41791223923553</v>
      </c>
      <c r="K56" s="121">
        <f t="shared" ref="K56:K57" si="45">$K$53*0.6*((0.6*3.1416*($B$54*0.0254)^2*J56^2)^(1/3))/9.81*1000</f>
        <v>1999.2334899301366</v>
      </c>
      <c r="L56" s="38">
        <f t="shared" si="40"/>
        <v>5.8291292192381956</v>
      </c>
      <c r="M56" s="38">
        <f t="shared" si="41"/>
        <v>319.12002132241486</v>
      </c>
      <c r="N56" s="38">
        <f t="shared" si="42"/>
        <v>336.23235066158526</v>
      </c>
      <c r="O56" s="38">
        <f t="shared" si="43"/>
        <v>5.0487950541412676</v>
      </c>
      <c r="P56" s="34">
        <f t="shared" si="44"/>
        <v>19.283222257370515</v>
      </c>
    </row>
    <row r="57" spans="1:16">
      <c r="A57" s="4" t="s">
        <v>340</v>
      </c>
      <c r="B57" s="4">
        <v>5200</v>
      </c>
      <c r="D57" s="56">
        <v>21</v>
      </c>
      <c r="E57" s="9">
        <f>(0.5+(0.00000036*$B$58*$B$19^3*($B$55*0.0254)*($B$54*0.0254)^4)*($B$20+$B$21)*$D57-(0.25-(0.00000036*$B$58*$B$19^3*($B$55*0.0254)*($B$54*0.0254)^4)*(($B$20+$B$21)^2*$B$14-($B$20+$B$21)*$D57))^(1/2))/((0.00000036*$B$58*$B$19^3*($B$55*0.0254)*($B$54*0.0254)^4)*($B$20+$B$21)^2)</f>
        <v>13.982655303614546</v>
      </c>
      <c r="F57" s="36">
        <f t="shared" si="35"/>
        <v>293.63576137590547</v>
      </c>
      <c r="G57" s="36">
        <f t="shared" si="36"/>
        <v>260.45200519857701</v>
      </c>
      <c r="H57" s="9">
        <f t="shared" si="37"/>
        <v>88.699007225197136</v>
      </c>
      <c r="I57" s="37">
        <f t="shared" si="38"/>
        <v>7395.5250083089122</v>
      </c>
      <c r="J57" s="38">
        <f t="shared" si="39"/>
        <v>260.45200519857917</v>
      </c>
      <c r="K57" s="65">
        <f t="shared" si="45"/>
        <v>1801.78037815996</v>
      </c>
      <c r="L57" s="2">
        <f t="shared" si="40"/>
        <v>6.1361067525197104</v>
      </c>
      <c r="M57" s="38">
        <f t="shared" si="41"/>
        <v>273.03074527072368</v>
      </c>
      <c r="N57" s="38">
        <f t="shared" si="42"/>
        <v>287.67160676675434</v>
      </c>
      <c r="O57" s="38">
        <f t="shared" si="43"/>
        <v>5.578339614782382</v>
      </c>
      <c r="P57" s="34">
        <f t="shared" si="44"/>
        <v>19.454847475722218</v>
      </c>
    </row>
    <row r="58" spans="1:16">
      <c r="A58" s="4" t="s">
        <v>110</v>
      </c>
      <c r="B58" s="4">
        <v>0.93700000000000006</v>
      </c>
      <c r="D58" s="56">
        <v>19</v>
      </c>
      <c r="E58" s="9">
        <f>(0.5+(0.00000036*$B$58*$B$19^3*($B$55*0.0254)*($B$54*0.0254)^4)*($B$20+$B$21)*$D58-(0.25-(0.00000036*$B$58*$B$19^3*($B$55*0.0254)*($B$54*0.0254)^4)*(($B$20+$B$21)^2*$B$14-($B$20+$B$21)*$D58))^(1/2))/((0.00000036*$B$58*$B$19^3*($B$55*0.0254)*($B$54*0.0254)^4)*($B$20+$B$21)^2)</f>
        <v>11.687264397631655</v>
      </c>
      <c r="F58" s="36">
        <f t="shared" ref="F58:F59" si="46">D58*E58</f>
        <v>222.05802355500143</v>
      </c>
      <c r="G58" s="36">
        <f t="shared" ref="G58:G59" si="47">(D58-($B$20+$B$21)*E58)*(E58-$B$14)</f>
        <v>196.40424660422883</v>
      </c>
      <c r="H58" s="9">
        <f t="shared" ref="H58:H59" si="48">G58/F58*100</f>
        <v>88.447264124901821</v>
      </c>
      <c r="I58" s="37">
        <f t="shared" ref="I58:I59" si="49">$B$19*(D58-(E58*($B$20+$B$21)))</f>
        <v>6731.472348178997</v>
      </c>
      <c r="J58" s="38">
        <f t="shared" ref="J58:J59" si="50">(($B$54*0.0254)^4)*($B$55*0.0254)*(I58^3)*2*$B$58*0.00000018</f>
        <v>196.40424660422886</v>
      </c>
      <c r="K58" s="64">
        <f t="shared" ref="K58:K59" si="51">$K$53*0.6*((0.6*3.1416*($B$54*0.0254)^2*J58^2)^(1/3))/9.81*1000</f>
        <v>1492.7392946994983</v>
      </c>
      <c r="L58" s="2">
        <f t="shared" ref="L58:L59" si="52">K58/F58</f>
        <v>6.7222938887851651</v>
      </c>
      <c r="M58" s="38">
        <f t="shared" ref="M58:M59" si="53">1.30652287/($B$54*0.0254)*POWER(K58*0.00981,3/2)</f>
        <v>205.88974841565229</v>
      </c>
      <c r="N58" s="38">
        <f t="shared" ref="N58:N59" si="54">POWER(I58/$B$57,3)*100</f>
        <v>216.93027532414106</v>
      </c>
      <c r="O58" s="38">
        <f t="shared" ref="O58:O59" si="55">0.65*60*O$10/E58</f>
        <v>6.6739313278311885</v>
      </c>
      <c r="P58" s="34">
        <f t="shared" ref="P58:P59" si="56">($B$20*$B$14+SQRT($B$20^2*$B$14^2+4*$B$20*($R$9-(D58*$B$14))))/(2*$B$20)</f>
        <v>19.737522288791663</v>
      </c>
    </row>
    <row r="59" spans="1:16">
      <c r="A59" s="5"/>
      <c r="B59" s="5"/>
      <c r="D59" s="56">
        <v>17</v>
      </c>
      <c r="E59" s="9">
        <f t="shared" ref="E59:E63" si="57">(0.5+(0.00000036*$B$58*$B$19^3*($B$55*0.0254)*($B$54*0.0254)^4)*($B$20+$B$21)*$D59-(0.25-(0.00000036*$B$58*$B$19^3*($B$55*0.0254)*($B$54*0.0254)^4)*(($B$20+$B$21)^2*$B$14-($B$20+$B$21)*$D59))^(1/2))/((0.00000036*$B$58*$B$19^3*($B$55*0.0254)*($B$54*0.0254)^4)*($B$20+$B$21)^2)</f>
        <v>9.5838558607023376</v>
      </c>
      <c r="F59" s="36">
        <f t="shared" si="46"/>
        <v>162.92554963193973</v>
      </c>
      <c r="G59" s="36">
        <f t="shared" si="47"/>
        <v>143.25455187128708</v>
      </c>
      <c r="H59" s="9">
        <f t="shared" si="48"/>
        <v>87.92638858356419</v>
      </c>
      <c r="I59" s="37">
        <f t="shared" si="49"/>
        <v>6059.3948250226422</v>
      </c>
      <c r="J59" s="38">
        <f t="shared" si="50"/>
        <v>143.25455187128614</v>
      </c>
      <c r="K59" s="64">
        <f t="shared" si="51"/>
        <v>1209.5458519101694</v>
      </c>
      <c r="L59" s="2">
        <f t="shared" si="52"/>
        <v>7.4239175785665203</v>
      </c>
      <c r="M59" s="38">
        <f t="shared" si="53"/>
        <v>150.17314622331111</v>
      </c>
      <c r="N59" s="38">
        <f t="shared" si="54"/>
        <v>158.225954459609</v>
      </c>
      <c r="O59" s="38">
        <f t="shared" si="55"/>
        <v>8.1386866761875414</v>
      </c>
      <c r="P59" s="34">
        <f t="shared" si="56"/>
        <v>20.016144745775314</v>
      </c>
    </row>
    <row r="60" spans="1:16">
      <c r="A60" s="5"/>
      <c r="B60" s="5"/>
      <c r="D60" s="56">
        <v>15</v>
      </c>
      <c r="E60" s="9">
        <f t="shared" si="57"/>
        <v>7.6795627640598516</v>
      </c>
      <c r="F60" s="36">
        <f t="shared" ref="F60:F63" si="58">D60*E60</f>
        <v>115.19344146089777</v>
      </c>
      <c r="G60" s="36">
        <f t="shared" ref="G60:G63" si="59">(D60-($B$20+$B$21)*E60)*(E60-$B$14)</f>
        <v>100.21296733614092</v>
      </c>
      <c r="H60" s="9">
        <f t="shared" ref="H60:H63" si="60">G60/F60*100</f>
        <v>86.995375834967177</v>
      </c>
      <c r="I60" s="37">
        <f t="shared" ref="I60:I63" si="61">$B$19*(D60-(E60*($B$20+$B$21)))</f>
        <v>5378.9942764622983</v>
      </c>
      <c r="J60" s="38">
        <f t="shared" ref="J60:J63" si="62">(($B$54*0.0254)^4)*($B$55*0.0254)*(I60^3)*2*$B$58*0.00000018</f>
        <v>100.21296733614021</v>
      </c>
      <c r="K60" s="64">
        <f t="shared" ref="K60:K63" si="63">$K$53*0.6*((0.6*3.1416*($B$54*0.0254)^2*J60^2)^(1/3))/9.81*1000</f>
        <v>953.16041434538749</v>
      </c>
      <c r="L60" s="2">
        <f t="shared" ref="L60:L63" si="64">K60/F60</f>
        <v>8.2744330081408002</v>
      </c>
      <c r="M60" s="38">
        <f t="shared" ref="M60:M63" si="65">1.30652287/($B$54*0.0254)*POWER(K60*0.00981,3/2)</f>
        <v>105.05283357951402</v>
      </c>
      <c r="N60" s="38">
        <f t="shared" ref="N60:N63" si="66">POWER(I60/$B$57,3)*100</f>
        <v>110.68613317248901</v>
      </c>
      <c r="O60" s="38">
        <f t="shared" ref="O60:O63" si="67">0.65*60*O$10/E60</f>
        <v>10.156828246138948</v>
      </c>
      <c r="P60" s="34">
        <f t="shared" ref="P60:P63" si="68">($B$20*$B$14+SQRT($B$20^2*$B$14^2+4*$B$20*($R$9-(D60*$B$14))))/(2*$B$20)</f>
        <v>20.290884286230426</v>
      </c>
    </row>
    <row r="61" spans="1:16">
      <c r="A61" s="5"/>
      <c r="B61" s="5"/>
      <c r="D61" s="56">
        <v>13.66</v>
      </c>
      <c r="E61" s="9">
        <f t="shared" si="57"/>
        <v>6.5188388703123445</v>
      </c>
      <c r="F61" s="36">
        <f t="shared" si="58"/>
        <v>89.047338968466633</v>
      </c>
      <c r="G61" s="36">
        <f t="shared" si="59"/>
        <v>76.607103710026777</v>
      </c>
      <c r="H61" s="9">
        <f t="shared" si="60"/>
        <v>86.029638389480482</v>
      </c>
      <c r="I61" s="37">
        <f t="shared" si="61"/>
        <v>4918.3125352209445</v>
      </c>
      <c r="J61" s="38">
        <f t="shared" si="62"/>
        <v>76.607103710029762</v>
      </c>
      <c r="K61" s="65">
        <f t="shared" si="63"/>
        <v>796.88578208684771</v>
      </c>
      <c r="L61" s="2">
        <f t="shared" si="64"/>
        <v>8.9490128657189878</v>
      </c>
      <c r="M61" s="38">
        <f t="shared" si="65"/>
        <v>80.306905692792753</v>
      </c>
      <c r="N61" s="38">
        <f t="shared" si="66"/>
        <v>84.613242263998799</v>
      </c>
      <c r="O61" s="38">
        <f t="shared" si="67"/>
        <v>11.965321056671968</v>
      </c>
      <c r="P61" s="34">
        <f t="shared" si="68"/>
        <v>20.47286656513014</v>
      </c>
    </row>
    <row r="62" spans="1:16">
      <c r="A62" s="5"/>
      <c r="B62" s="5"/>
      <c r="D62" s="56">
        <v>12</v>
      </c>
      <c r="E62" s="9">
        <f t="shared" si="57"/>
        <v>5.2131929618135358</v>
      </c>
      <c r="F62" s="36">
        <f t="shared" si="58"/>
        <v>62.558315541762425</v>
      </c>
      <c r="G62" s="36">
        <f t="shared" si="59"/>
        <v>52.712874382960884</v>
      </c>
      <c r="H62" s="9">
        <f t="shared" si="60"/>
        <v>84.261978485931323</v>
      </c>
      <c r="I62" s="37">
        <f t="shared" si="61"/>
        <v>4342.0885341961939</v>
      </c>
      <c r="J62" s="38">
        <f t="shared" si="62"/>
        <v>52.712874382961694</v>
      </c>
      <c r="K62" s="64">
        <f t="shared" si="63"/>
        <v>621.0995031020733</v>
      </c>
      <c r="L62" s="2">
        <f t="shared" si="64"/>
        <v>9.9283284360085151</v>
      </c>
      <c r="M62" s="38">
        <f t="shared" si="65"/>
        <v>55.258685250546833</v>
      </c>
      <c r="N62" s="38">
        <f t="shared" si="66"/>
        <v>58.22184881809234</v>
      </c>
      <c r="O62" s="38">
        <f t="shared" si="67"/>
        <v>14.962039688794832</v>
      </c>
      <c r="P62" s="34">
        <f t="shared" si="68"/>
        <v>20.696055768434515</v>
      </c>
    </row>
    <row r="63" spans="1:16">
      <c r="A63" s="5"/>
      <c r="B63" s="5"/>
      <c r="D63" s="56">
        <v>11</v>
      </c>
      <c r="E63" s="9">
        <f t="shared" si="57"/>
        <v>4.499161345053321</v>
      </c>
      <c r="F63" s="36">
        <f t="shared" si="58"/>
        <v>49.490774795586532</v>
      </c>
      <c r="G63" s="36">
        <f t="shared" si="59"/>
        <v>40.961049635389628</v>
      </c>
      <c r="H63" s="9">
        <f t="shared" si="60"/>
        <v>82.765019954875385</v>
      </c>
      <c r="I63" s="37">
        <f t="shared" si="61"/>
        <v>3991.9350557767712</v>
      </c>
      <c r="J63" s="38">
        <f t="shared" si="62"/>
        <v>40.961049635389841</v>
      </c>
      <c r="K63" s="64">
        <f t="shared" si="63"/>
        <v>524.96550523118822</v>
      </c>
      <c r="L63" s="2">
        <f t="shared" si="64"/>
        <v>10.607340608415841</v>
      </c>
      <c r="M63" s="38">
        <f t="shared" si="65"/>
        <v>42.939296629698596</v>
      </c>
      <c r="N63" s="38">
        <f t="shared" si="66"/>
        <v>45.241851582141926</v>
      </c>
      <c r="O63" s="38">
        <f t="shared" si="67"/>
        <v>17.336564310092683</v>
      </c>
      <c r="P63" s="34">
        <f t="shared" si="68"/>
        <v>20.829335994221449</v>
      </c>
    </row>
    <row r="64" spans="1:16">
      <c r="A64" s="2"/>
      <c r="B64" s="2"/>
      <c r="D64" s="56">
        <v>10.7</v>
      </c>
      <c r="E64" s="9">
        <f>(0.5+(0.00000036*$B$58*$B$19^3*($B$55*0.0254)*($B$54*0.0254)^4)*($B$20+$B$21)*$D64-(0.25-(0.00000036*$B$58*$B$19^3*($B$55*0.0254)*($B$54*0.0254)^4)*(($B$20+$B$21)^2*$B$14-($B$20+$B$21)*$D64))^(1/2))/((0.00000036*$B$58*$B$19^3*($B$55*0.0254)*($B$54*0.0254)^4)*($B$20+$B$21)^2)</f>
        <v>4.2957901715809887</v>
      </c>
      <c r="F64" s="36">
        <f>D64*E64</f>
        <v>45.964954835916579</v>
      </c>
      <c r="G64" s="36">
        <f>(D64-($B$20+$B$21)*E64)*(E64-$B$14)</f>
        <v>37.798557535433225</v>
      </c>
      <c r="H64" s="9">
        <f>G64/F64*100</f>
        <v>82.23342690178778</v>
      </c>
      <c r="I64" s="37">
        <f>$B$19*(D64-(E64*($B$20+$B$21)))</f>
        <v>3886.4359708279144</v>
      </c>
      <c r="J64" s="38">
        <f>(($B$54*0.0254)^4)*($B$55*0.0254)*(I64^3)*2*$B$58*0.00000018</f>
        <v>37.798557535433574</v>
      </c>
      <c r="K64" s="66">
        <f>$K$53*0.6*((0.6*3.1416*($B$54*0.0254)^2*J64^2)^(1/3))/9.81*1000</f>
        <v>497.58452727632636</v>
      </c>
      <c r="L64" s="2">
        <f>K64/F64</f>
        <v>10.825302212361112</v>
      </c>
      <c r="M64" s="38">
        <f>1.30652287/($B$54*0.0254)*POWER(K64*0.00981,3/2)</f>
        <v>39.62406941804592</v>
      </c>
      <c r="N64" s="38">
        <f>POWER(I64/$B$57,3)*100</f>
        <v>41.748850316561544</v>
      </c>
      <c r="O64" s="38">
        <f>0.65*60*O$10/E64</f>
        <v>18.157311433880743</v>
      </c>
      <c r="P64" s="34">
        <f>($B$20*$B$14+SQRT($B$20^2*$B$14^2+4*$B$20*($R$9-(D64*$B$14))))/(2*$B$20)</f>
        <v>20.86915165970634</v>
      </c>
    </row>
    <row r="65" spans="1:16">
      <c r="A65" s="2"/>
      <c r="B65" s="2"/>
      <c r="D65" s="60">
        <v>10</v>
      </c>
      <c r="E65" s="17">
        <f>(0.5+(0.00000036*$B$58*$B$19^3*($B$55*0.0254)*($B$54*0.0254)^4)*($B$20+$B$21)*$D65-(0.25-(0.00000036*$B$58*$B$19^3*($B$55*0.0254)*($B$54*0.0254)^4)*(($B$20+$B$21)^2*$B$14-($B$20+$B$21)*$D65))^(1/2))/((0.00000036*$B$58*$B$19^3*($B$55*0.0254)*($B$54*0.0254)^4)*($B$20+$B$21)^2)</f>
        <v>3.840971166349493</v>
      </c>
      <c r="F65" s="61">
        <f>D65*E65</f>
        <v>38.409711663494932</v>
      </c>
      <c r="G65" s="61">
        <f>(D65-($B$20+$B$21)*E65)*(E65-$B$14)</f>
        <v>31.040379215393898</v>
      </c>
      <c r="H65" s="17">
        <f>G65/F65*100</f>
        <v>80.813882403848041</v>
      </c>
      <c r="I65" s="62">
        <f>$B$19*(D65-(E65*($B$20+$B$21)))</f>
        <v>3639.4474052465916</v>
      </c>
      <c r="J65" s="38">
        <f>(($B$54*0.0254)^4)*($B$55*0.0254)*(I65^3)*2*$B$58*0.00000018</f>
        <v>31.040379215393813</v>
      </c>
      <c r="K65" s="36">
        <f>$K$53*0.6*((0.6*3.1416*($B$54*0.0254)^2*J65^2)^(1/3))/9.81*1000</f>
        <v>436.34974683487877</v>
      </c>
      <c r="L65" s="2">
        <f>K65/F65</f>
        <v>11.36040152182634</v>
      </c>
      <c r="M65" s="38">
        <f>1.30652287/($B$54*0.0254)*POWER(K65*0.00981,3/2)</f>
        <v>32.539499414501321</v>
      </c>
      <c r="N65" s="38">
        <f>POWER(I65/$B$57,3)*100</f>
        <v>34.284380942790364</v>
      </c>
      <c r="O65" s="38">
        <f>0.65*60*O$10/E65</f>
        <v>20.307364107117778</v>
      </c>
      <c r="P65" s="34">
        <f>($B$20*$B$14+SQRT($B$20^2*$B$14^2+4*$B$20*($R$9-(D65*$B$14))))/(2*$B$20)</f>
        <v>20.961756503699821</v>
      </c>
    </row>
    <row r="66" spans="1:16">
      <c r="A66" s="2"/>
      <c r="B66" s="2"/>
    </row>
    <row r="67" spans="1:16">
      <c r="A67" s="2"/>
      <c r="B67" s="2"/>
    </row>
    <row r="70" spans="1:16">
      <c r="H70" s="57" t="s">
        <v>168</v>
      </c>
      <c r="I70" s="58"/>
      <c r="J70" s="58"/>
      <c r="K70" s="58"/>
      <c r="L70" s="58"/>
      <c r="M70" s="59"/>
    </row>
    <row r="71" spans="1:16">
      <c r="O71" s="186" t="s">
        <v>407</v>
      </c>
      <c r="P71" s="186"/>
    </row>
    <row r="72" spans="1:16">
      <c r="D72" s="2"/>
      <c r="E72" s="2"/>
      <c r="F72" s="2"/>
      <c r="G72" s="2"/>
      <c r="H72" s="2"/>
      <c r="I72" s="2"/>
      <c r="J72" s="2"/>
      <c r="K72" s="4" t="s">
        <v>111</v>
      </c>
      <c r="L72" s="2"/>
      <c r="M72" s="2"/>
      <c r="N72" s="2"/>
      <c r="O72" s="89">
        <v>1.25</v>
      </c>
      <c r="P72" s="89" t="s">
        <v>394</v>
      </c>
    </row>
    <row r="73" spans="1:16">
      <c r="D73" s="2"/>
      <c r="E73" s="2"/>
      <c r="F73" s="2"/>
      <c r="G73" s="2"/>
      <c r="H73" s="2"/>
      <c r="I73" s="2"/>
      <c r="J73" s="2"/>
      <c r="K73" s="4">
        <v>1.29</v>
      </c>
      <c r="M73" s="2" t="s">
        <v>113</v>
      </c>
      <c r="N73" s="2" t="s">
        <v>113</v>
      </c>
      <c r="O73" s="89" t="s">
        <v>116</v>
      </c>
    </row>
    <row r="74" spans="1:16">
      <c r="A74" s="5" t="s">
        <v>249</v>
      </c>
      <c r="B74" s="5">
        <v>15</v>
      </c>
      <c r="D74" s="11" t="s">
        <v>425</v>
      </c>
      <c r="E74" s="12" t="s">
        <v>426</v>
      </c>
      <c r="F74" s="12" t="s">
        <v>262</v>
      </c>
      <c r="G74" s="12" t="s">
        <v>127</v>
      </c>
      <c r="H74" s="12" t="s">
        <v>128</v>
      </c>
      <c r="I74" s="13" t="s">
        <v>129</v>
      </c>
      <c r="J74" s="2" t="s">
        <v>24</v>
      </c>
      <c r="K74" s="2" t="s">
        <v>25</v>
      </c>
      <c r="L74" s="9" t="s">
        <v>26</v>
      </c>
      <c r="M74" s="9" t="s">
        <v>133</v>
      </c>
      <c r="N74" s="9" t="s">
        <v>268</v>
      </c>
      <c r="O74" s="89" t="s">
        <v>118</v>
      </c>
      <c r="P74" t="s">
        <v>137</v>
      </c>
    </row>
    <row r="75" spans="1:16">
      <c r="A75" s="5" t="s">
        <v>143</v>
      </c>
      <c r="B75" s="5">
        <v>5</v>
      </c>
      <c r="D75" s="35">
        <v>19.8</v>
      </c>
      <c r="E75" s="9">
        <f t="shared" ref="E75:E82" si="69">(0.5+(0.00000036*$B$78*$B$19^3*($B$75*0.0254)*($B$74*0.0254)^4)*($B$20+$B$21)*$D75-(0.25-(0.00000036*$B$78*$B$19^3*($B$75*0.0254)*($B$74*0.0254)^4)*(($B$20+$B$21)^2*$B$14-($B$20+$B$21)*$D75))^(1/2))/((0.00000036*$B$78*$B$19^3*($B$75*0.0254)*($B$74*0.0254)^4)*($B$20+$B$21)^2)</f>
        <v>21.23716155287309</v>
      </c>
      <c r="F75" s="36">
        <f t="shared" ref="F75:F81" si="70">D75*E75</f>
        <v>420.4957987468872</v>
      </c>
      <c r="G75" s="36">
        <f t="shared" ref="G75:G81" si="71">(D75-($B$20+$B$21)*E75)*(E75-$B$14)</f>
        <v>360.40557801886541</v>
      </c>
      <c r="H75" s="9">
        <f t="shared" ref="H75:H81" si="72">G75/F75*100</f>
        <v>85.709673935602765</v>
      </c>
      <c r="I75" s="37">
        <f t="shared" ref="I75:I81" si="73">$B$19*(D75-(E75*($B$20+$B$21)))</f>
        <v>6636.2866470899053</v>
      </c>
      <c r="J75" s="38">
        <f t="shared" ref="J75:J81" si="74">(($B$74*0.0254)^4)*($B$75*0.0254)*(I75^3)*2*$B$78*0.00000018</f>
        <v>360.40557801886411</v>
      </c>
      <c r="K75" s="36">
        <f>$K$73*0.6*((0.6*3.1416*($B$74*0.0254)^2*J75^2)^(1/3))/9.81*1000</f>
        <v>2594.0817157816305</v>
      </c>
      <c r="L75" s="2">
        <f t="shared" ref="L75:L81" si="75">K75/F75</f>
        <v>6.1691025772723815</v>
      </c>
      <c r="M75" s="38">
        <f t="shared" ref="M75:M81" si="76">1.30652287/($B$74*0.0254)*POWER(K75*0.00981,3/2)</f>
        <v>440.2212782856692</v>
      </c>
      <c r="N75" s="38">
        <f t="shared" ref="N75:N81" si="77">POWER(I75/$B$77,3)*100</f>
        <v>300.26306596950707</v>
      </c>
      <c r="O75" s="38">
        <f t="shared" ref="O75:O81" si="78">0.65*60*O$10/E75</f>
        <v>3.6728072066414024</v>
      </c>
      <c r="P75" s="33">
        <f t="shared" ref="P75:P81" si="79">($B$20*$B$14+SQRT($B$20^2*$B$14^2+4*$B$20*($R$9-(D75*$B$14))))/(2*$B$20)</f>
        <v>19.624948547502953</v>
      </c>
    </row>
    <row r="76" spans="1:16">
      <c r="A76" s="94"/>
      <c r="B76" s="5"/>
      <c r="D76" s="56">
        <v>18.5</v>
      </c>
      <c r="E76" s="9">
        <f t="shared" si="69"/>
        <v>18.856555070956301</v>
      </c>
      <c r="F76" s="36">
        <f t="shared" si="70"/>
        <v>348.84626881269156</v>
      </c>
      <c r="G76" s="36">
        <f t="shared" si="71"/>
        <v>299.87813784153377</v>
      </c>
      <c r="H76" s="9">
        <f t="shared" si="72"/>
        <v>85.962833675182409</v>
      </c>
      <c r="I76" s="37">
        <f t="shared" si="73"/>
        <v>6241.7959980340265</v>
      </c>
      <c r="J76" s="38">
        <f t="shared" si="74"/>
        <v>299.87813784153349</v>
      </c>
      <c r="K76" s="121">
        <f t="shared" ref="K76:K81" si="80">$K$73*0.6*((0.6*3.1416*($B$74*0.0254)^2*J76^2)^(1/3))/9.81*1000</f>
        <v>2294.8405758899034</v>
      </c>
      <c r="L76" s="2">
        <f t="shared" si="75"/>
        <v>6.5783721399700221</v>
      </c>
      <c r="M76" s="38">
        <f t="shared" si="76"/>
        <v>366.28938402173196</v>
      </c>
      <c r="N76" s="38">
        <f t="shared" si="77"/>
        <v>249.83611402599416</v>
      </c>
      <c r="O76" s="38">
        <f t="shared" si="78"/>
        <v>4.1364925728209521</v>
      </c>
      <c r="P76" s="34">
        <f t="shared" si="79"/>
        <v>19.807550985568266</v>
      </c>
    </row>
    <row r="77" spans="1:16">
      <c r="A77" s="4" t="s">
        <v>340</v>
      </c>
      <c r="B77" s="4">
        <v>4600</v>
      </c>
      <c r="D77" s="56">
        <v>15</v>
      </c>
      <c r="E77" s="9">
        <f t="shared" si="69"/>
        <v>13.050121934010624</v>
      </c>
      <c r="F77" s="36">
        <f t="shared" si="70"/>
        <v>195.75182901015935</v>
      </c>
      <c r="G77" s="36">
        <f t="shared" si="71"/>
        <v>168.8795119836241</v>
      </c>
      <c r="H77" s="36">
        <f t="shared" si="72"/>
        <v>86.272252390990118</v>
      </c>
      <c r="I77" s="37">
        <f t="shared" si="73"/>
        <v>5154.5049031583558</v>
      </c>
      <c r="J77" s="38">
        <f t="shared" si="74"/>
        <v>168.8795119836245</v>
      </c>
      <c r="K77" s="65">
        <f t="shared" si="80"/>
        <v>1564.974601062454</v>
      </c>
      <c r="L77" s="38">
        <f t="shared" si="75"/>
        <v>7.9946869920752217</v>
      </c>
      <c r="M77" s="38">
        <f t="shared" si="76"/>
        <v>206.27970035968724</v>
      </c>
      <c r="N77" s="38">
        <f t="shared" si="77"/>
        <v>140.69782250979216</v>
      </c>
      <c r="O77" s="38">
        <f t="shared" si="78"/>
        <v>5.9769556479560553</v>
      </c>
      <c r="P77" s="34">
        <f t="shared" si="79"/>
        <v>20.290884286230426</v>
      </c>
    </row>
    <row r="78" spans="1:16">
      <c r="A78" s="4" t="s">
        <v>110</v>
      </c>
      <c r="B78" s="4">
        <v>1.28</v>
      </c>
      <c r="D78" s="56">
        <v>10.43</v>
      </c>
      <c r="E78" s="9">
        <f t="shared" si="69"/>
        <v>6.9250267064435169</v>
      </c>
      <c r="F78" s="36">
        <f t="shared" si="70"/>
        <v>72.228028548205884</v>
      </c>
      <c r="G78" s="36">
        <f t="shared" si="71"/>
        <v>61.151920873486006</v>
      </c>
      <c r="H78" s="9">
        <f t="shared" si="72"/>
        <v>84.66508376685438</v>
      </c>
      <c r="I78" s="37">
        <f t="shared" si="73"/>
        <v>3673.9338836706611</v>
      </c>
      <c r="J78" s="38">
        <f t="shared" si="74"/>
        <v>61.151920873485658</v>
      </c>
      <c r="K78" s="65">
        <f t="shared" si="80"/>
        <v>795.05294800249976</v>
      </c>
      <c r="L78" s="2">
        <f t="shared" si="75"/>
        <v>11.007540479550421</v>
      </c>
      <c r="M78" s="38">
        <f t="shared" si="76"/>
        <v>74.694672941884633</v>
      </c>
      <c r="N78" s="38">
        <f t="shared" si="77"/>
        <v>50.947222715949245</v>
      </c>
      <c r="O78" s="38">
        <f t="shared" si="78"/>
        <v>11.263494468176344</v>
      </c>
      <c r="P78" s="34">
        <f t="shared" si="79"/>
        <v>20.90491997734345</v>
      </c>
    </row>
    <row r="79" spans="1:16">
      <c r="A79" s="5"/>
      <c r="B79" s="5"/>
      <c r="D79" s="56">
        <v>9</v>
      </c>
      <c r="E79" s="9">
        <f t="shared" si="69"/>
        <v>5.3833766582975073</v>
      </c>
      <c r="F79" s="36">
        <f t="shared" si="70"/>
        <v>48.450389924677566</v>
      </c>
      <c r="G79" s="36">
        <f t="shared" si="71"/>
        <v>40.217810917163931</v>
      </c>
      <c r="H79" s="9">
        <f t="shared" si="72"/>
        <v>83.008229613193521</v>
      </c>
      <c r="I79" s="37">
        <f t="shared" si="73"/>
        <v>3194.9748556831637</v>
      </c>
      <c r="J79" s="38">
        <f t="shared" si="74"/>
        <v>40.217810917163881</v>
      </c>
      <c r="K79" s="64">
        <f t="shared" si="80"/>
        <v>601.26824598408621</v>
      </c>
      <c r="L79" s="2">
        <f t="shared" si="75"/>
        <v>12.409977441230833</v>
      </c>
      <c r="M79" s="38">
        <f t="shared" si="76"/>
        <v>49.124478675184442</v>
      </c>
      <c r="N79" s="38">
        <f t="shared" si="77"/>
        <v>33.506482554877294</v>
      </c>
      <c r="O79" s="38">
        <f t="shared" si="78"/>
        <v>14.48904747910905</v>
      </c>
      <c r="P79" s="34">
        <f t="shared" si="79"/>
        <v>21.093333721958277</v>
      </c>
    </row>
    <row r="80" spans="1:16">
      <c r="A80" s="5"/>
      <c r="B80" s="5"/>
      <c r="D80" s="56">
        <v>8.6</v>
      </c>
      <c r="E80" s="9">
        <f t="shared" si="69"/>
        <v>4.9865065531713162</v>
      </c>
      <c r="F80" s="36">
        <f t="shared" si="70"/>
        <v>42.88395635727332</v>
      </c>
      <c r="G80" s="36">
        <f t="shared" si="71"/>
        <v>35.317888553252374</v>
      </c>
      <c r="H80" s="36">
        <f t="shared" si="72"/>
        <v>82.356880179182184</v>
      </c>
      <c r="I80" s="37">
        <f t="shared" si="73"/>
        <v>3059.5640260774385</v>
      </c>
      <c r="J80" s="38">
        <f t="shared" si="74"/>
        <v>35.317888553252459</v>
      </c>
      <c r="K80" s="64">
        <f t="shared" si="80"/>
        <v>551.38185629767054</v>
      </c>
      <c r="L80" s="38">
        <f t="shared" si="75"/>
        <v>12.857532353218936</v>
      </c>
      <c r="M80" s="38">
        <f t="shared" si="76"/>
        <v>43.139415684764465</v>
      </c>
      <c r="N80" s="38">
        <f t="shared" si="77"/>
        <v>29.424232440747293</v>
      </c>
      <c r="O80" s="38">
        <f t="shared" si="78"/>
        <v>15.642213475162004</v>
      </c>
      <c r="P80" s="34">
        <f t="shared" si="79"/>
        <v>21.145732068088794</v>
      </c>
    </row>
    <row r="81" spans="1:16">
      <c r="A81" s="5"/>
      <c r="B81" s="5"/>
      <c r="D81" s="56">
        <v>8.14</v>
      </c>
      <c r="E81" s="9">
        <f t="shared" si="69"/>
        <v>4.5491806603154012</v>
      </c>
      <c r="F81" s="36">
        <f t="shared" si="70"/>
        <v>37.030330574967365</v>
      </c>
      <c r="G81" s="36">
        <f t="shared" si="71"/>
        <v>30.170121583727539</v>
      </c>
      <c r="H81" s="9">
        <f t="shared" si="72"/>
        <v>81.474081152606956</v>
      </c>
      <c r="I81" s="37">
        <f t="shared" si="73"/>
        <v>2903.0442483988163</v>
      </c>
      <c r="J81" s="38">
        <f t="shared" si="74"/>
        <v>30.170121583727653</v>
      </c>
      <c r="K81" s="66">
        <f t="shared" si="80"/>
        <v>496.41019269999612</v>
      </c>
      <c r="L81" s="2">
        <f t="shared" si="75"/>
        <v>13.405502597256616</v>
      </c>
      <c r="M81" s="38">
        <f t="shared" si="76"/>
        <v>36.851620229161576</v>
      </c>
      <c r="N81" s="38">
        <f t="shared" si="77"/>
        <v>25.135496673496831</v>
      </c>
      <c r="O81" s="38">
        <f t="shared" si="78"/>
        <v>17.145944692948763</v>
      </c>
      <c r="P81" s="34">
        <f t="shared" si="79"/>
        <v>21.205827808619215</v>
      </c>
    </row>
    <row r="82" spans="1:16">
      <c r="A82" s="5"/>
      <c r="B82" s="5"/>
      <c r="D82" s="60">
        <v>7.5</v>
      </c>
      <c r="E82" s="17">
        <f t="shared" si="69"/>
        <v>3.9752867348272312</v>
      </c>
      <c r="F82" s="61">
        <f>D82*E82</f>
        <v>29.814650511204235</v>
      </c>
      <c r="G82" s="61">
        <f>(D82-($B$20+$B$21)*E82)*(E82-$B$14)</f>
        <v>23.838699927052563</v>
      </c>
      <c r="H82" s="17">
        <f>G82/F82*100</f>
        <v>79.956328577771075</v>
      </c>
      <c r="I82" s="62">
        <f>$B$19*(D82-(E82*($B$20+$B$21)))</f>
        <v>2683.8330144842216</v>
      </c>
      <c r="J82" s="38">
        <f>(($B$74*0.0254)^4)*($B$75*0.0254)*(I82^3)*2*$B$78*0.00000018</f>
        <v>23.838699927052271</v>
      </c>
      <c r="K82" s="36">
        <f>$K$73*0.6*((0.6*3.1416*($B$74*0.0254)^2*J82^2)^(1/3))/9.81*1000</f>
        <v>424.27199021061864</v>
      </c>
      <c r="L82" s="2">
        <f>K82/F82</f>
        <v>14.230319085953358</v>
      </c>
      <c r="M82" s="38">
        <f>1.30652287/($B$74*0.0254)*POWER(K82*0.00981,3/2)</f>
        <v>29.11803699665867</v>
      </c>
      <c r="N82" s="38">
        <f>POWER(I82/$B$77,3)*100</f>
        <v>19.860628040693435</v>
      </c>
      <c r="O82" s="38">
        <f>0.65*60*O$10/E82</f>
        <v>19.621226141160339</v>
      </c>
      <c r="P82" s="34">
        <f>($B$20*$B$14+SQRT($B$20^2*$B$14^2+4*$B$20*($R$9-(D82*$B$14))))/(2*$B$20)</f>
        <v>21.289153042811076</v>
      </c>
    </row>
    <row r="83" spans="1:16">
      <c r="A83" s="5"/>
      <c r="B83" s="5"/>
    </row>
    <row r="87" spans="1:16">
      <c r="H87" s="57" t="s">
        <v>344</v>
      </c>
      <c r="I87" s="90"/>
      <c r="J87" s="90"/>
      <c r="K87" s="90"/>
      <c r="L87" s="90"/>
      <c r="M87" s="91"/>
    </row>
    <row r="88" spans="1:16">
      <c r="O88" s="186" t="s">
        <v>407</v>
      </c>
      <c r="P88" s="186"/>
    </row>
    <row r="89" spans="1:16">
      <c r="D89" s="2"/>
      <c r="E89" s="2"/>
      <c r="F89" s="2"/>
      <c r="G89" s="2"/>
      <c r="H89" s="2"/>
      <c r="I89" s="2"/>
      <c r="J89" s="2"/>
      <c r="K89" s="4" t="s">
        <v>111</v>
      </c>
      <c r="L89" s="2"/>
      <c r="M89" s="2"/>
      <c r="N89" s="2"/>
      <c r="O89" s="89">
        <v>1.25</v>
      </c>
      <c r="P89" s="89" t="s">
        <v>394</v>
      </c>
    </row>
    <row r="90" spans="1:16">
      <c r="D90" s="2"/>
      <c r="E90" s="2"/>
      <c r="F90" s="2"/>
      <c r="G90" s="2"/>
      <c r="H90" s="2"/>
      <c r="I90" s="2"/>
      <c r="J90" s="2"/>
      <c r="K90" s="4">
        <v>1.29</v>
      </c>
      <c r="M90" s="2" t="s">
        <v>113</v>
      </c>
      <c r="N90" s="2" t="s">
        <v>113</v>
      </c>
      <c r="O90" s="89" t="s">
        <v>116</v>
      </c>
    </row>
    <row r="91" spans="1:16">
      <c r="A91" s="5" t="s">
        <v>249</v>
      </c>
      <c r="B91" s="5">
        <v>12</v>
      </c>
      <c r="D91" s="11" t="s">
        <v>341</v>
      </c>
      <c r="E91" s="12" t="s">
        <v>342</v>
      </c>
      <c r="F91" s="12" t="s">
        <v>262</v>
      </c>
      <c r="G91" s="12" t="s">
        <v>127</v>
      </c>
      <c r="H91" s="12" t="s">
        <v>128</v>
      </c>
      <c r="I91" s="13" t="s">
        <v>129</v>
      </c>
      <c r="J91" s="2" t="s">
        <v>24</v>
      </c>
      <c r="K91" s="2" t="s">
        <v>25</v>
      </c>
      <c r="L91" s="9" t="s">
        <v>26</v>
      </c>
      <c r="M91" s="9" t="s">
        <v>133</v>
      </c>
      <c r="N91" s="9" t="s">
        <v>268</v>
      </c>
      <c r="O91" s="89" t="s">
        <v>118</v>
      </c>
      <c r="P91" t="s">
        <v>137</v>
      </c>
    </row>
    <row r="92" spans="1:16">
      <c r="A92" s="5" t="s">
        <v>143</v>
      </c>
      <c r="B92" s="5">
        <v>4.5</v>
      </c>
      <c r="D92" s="35">
        <v>32.200000000000003</v>
      </c>
      <c r="E92" s="9">
        <f t="shared" ref="E92:E103" si="81">(0.5+(0.00000036*$B$95*$B$19^3*($B$92*0.0254)*($B$91*0.0254)^4)*($B$20+$B$21)*$D92-(0.25-(0.00000036*$B$95*$B$19^3*($B$92*0.0254)*($B$91*0.0254)^4)*(($B$20+$B$21)^2*$B$14-($B$20+$B$21)*$D92))^(1/2))/((0.00000036*$B$95*$B$19^3*($B$92*0.0254)*($B$91*0.0254)^4)*($B$20+$B$21)^2)</f>
        <v>19.90606178235447</v>
      </c>
      <c r="F92" s="36">
        <f>D92*E92</f>
        <v>640.97518939181396</v>
      </c>
      <c r="G92" s="36">
        <f>(D92-($B$20+$B$21)*E92)*(E92-$B$14)</f>
        <v>579.38134694432881</v>
      </c>
      <c r="H92" s="9">
        <f>G92/F92*100</f>
        <v>90.39060427503783</v>
      </c>
      <c r="I92" s="37">
        <f>$B$19*(D92-(E92*($B$20+$B$21)))</f>
        <v>11403.926617497584</v>
      </c>
      <c r="J92" s="38">
        <f>(($B$91*0.0254)^4)*($B$92*0.0254)*(I92^3)*2*$B$95*0.00000018</f>
        <v>579.38134694432199</v>
      </c>
      <c r="K92" s="36">
        <f>$K$90*0.6*((0.6*3.1416*($B$91*0.0254)^2*J92^2)^(1/3))/9.81*1000</f>
        <v>3067.7901405324183</v>
      </c>
      <c r="L92" s="2">
        <f>K92/F92</f>
        <v>4.7861293093782233</v>
      </c>
      <c r="M92" s="38">
        <f>1.30652287/($B$91*0.0254)*POWER(K92*0.00981,3/2)</f>
        <v>707.69159170270166</v>
      </c>
      <c r="N92" s="38">
        <f>POWER(I92/$B$94,3)*100</f>
        <v>755.41642806142181</v>
      </c>
      <c r="O92" s="38">
        <f>0.65*60*O$10/E92</f>
        <v>3.918404396249906</v>
      </c>
      <c r="P92" s="33">
        <f>($B$20*$B$14+SQRT($B$20^2*$B$14^2+4*$B$20*($R$9-(D92*$B$14))))/(2*$B$20)</f>
        <v>17.787631993133683</v>
      </c>
    </row>
    <row r="93" spans="1:16">
      <c r="A93" s="94"/>
      <c r="B93" s="5"/>
      <c r="D93" s="56">
        <v>22.2</v>
      </c>
      <c r="E93" s="9">
        <f t="shared" si="81"/>
        <v>10.130702635727657</v>
      </c>
      <c r="F93" s="36">
        <f>D93*E93</f>
        <v>224.90159851315397</v>
      </c>
      <c r="G93" s="36">
        <f>(D93-($B$20+$B$21)*E93)*(E93-$B$14)</f>
        <v>200.96079993882267</v>
      </c>
      <c r="H93" s="9">
        <f>G93/F93*100</f>
        <v>89.354989589844536</v>
      </c>
      <c r="I93" s="37">
        <f>$B$19*(D93-(E93*($B$20+$B$21)))</f>
        <v>8012.5366298265835</v>
      </c>
      <c r="J93" s="38">
        <f t="shared" ref="J93:J101" si="82">(($B$91*0.0254)^4)*($B$92*0.0254)*(I93^3)*2*$B$95*0.00000018</f>
        <v>200.96079993882236</v>
      </c>
      <c r="K93" s="121">
        <f t="shared" ref="K93:K101" si="83">$K$90*0.6*((0.6*3.1416*($B$91*0.0254)^2*J93^2)^(1/3))/9.81*1000</f>
        <v>1514.4567497942712</v>
      </c>
      <c r="L93" s="2">
        <f>K93/F93</f>
        <v>6.7338638756082219</v>
      </c>
      <c r="M93" s="38">
        <f t="shared" ref="M93:M101" si="84">1.30652287/($B$91*0.0254)*POWER(K93*0.00981,3/2)</f>
        <v>245.46573535481866</v>
      </c>
      <c r="N93" s="38">
        <f t="shared" ref="N93:N101" si="85">POWER(I93/$B$94,3)*100</f>
        <v>262.01929087085347</v>
      </c>
      <c r="O93" s="38">
        <f>0.65*60*O$10/E93</f>
        <v>7.6993672408189786</v>
      </c>
      <c r="P93" s="34">
        <f>($B$20*$B$14+SQRT($B$20^2*$B$14^2+4*$B$20*($R$9-(D93*$B$14))))/(2*$B$20)</f>
        <v>19.283222257370515</v>
      </c>
    </row>
    <row r="94" spans="1:16">
      <c r="A94" s="4" t="s">
        <v>340</v>
      </c>
      <c r="B94" s="4">
        <v>5812</v>
      </c>
      <c r="D94" s="56">
        <v>21</v>
      </c>
      <c r="E94" s="9">
        <f t="shared" si="81"/>
        <v>9.1673551463110137</v>
      </c>
      <c r="F94" s="36">
        <f>D94*E94</f>
        <v>192.51445807253128</v>
      </c>
      <c r="G94" s="36">
        <f>(D94-($B$20+$B$21)*E94)*(E94-$B$14)</f>
        <v>171.27505947054235</v>
      </c>
      <c r="H94" s="36">
        <f>G94/F94*100</f>
        <v>88.967374806734341</v>
      </c>
      <c r="I94" s="37">
        <f>$B$19*(D94-(E94*($B$20+$B$21)))</f>
        <v>7596.8045548841992</v>
      </c>
      <c r="J94" s="38">
        <f t="shared" si="82"/>
        <v>171.2750594705376</v>
      </c>
      <c r="K94" s="65">
        <f t="shared" si="83"/>
        <v>1361.3779933261383</v>
      </c>
      <c r="L94" s="38">
        <f>K94/F94</f>
        <v>7.0715623489079906</v>
      </c>
      <c r="M94" s="38">
        <f t="shared" si="84"/>
        <v>209.20576766053151</v>
      </c>
      <c r="N94" s="38">
        <f t="shared" si="85"/>
        <v>223.31404751571125</v>
      </c>
      <c r="O94" s="38">
        <f>0.65*60*O$10/E94</f>
        <v>8.5084518659002271</v>
      </c>
      <c r="P94" s="34">
        <f>($B$20*$B$14+SQRT($B$20^2*$B$14^2+4*$B$20*($R$9-(D94*$B$14))))/(2*$B$20)</f>
        <v>19.454847475722218</v>
      </c>
    </row>
    <row r="95" spans="1:16">
      <c r="A95" s="4" t="s">
        <v>110</v>
      </c>
      <c r="B95" s="4">
        <v>1.1000000000000001</v>
      </c>
      <c r="D95" s="56">
        <v>20</v>
      </c>
      <c r="E95" s="9">
        <f t="shared" si="81"/>
        <v>8.4005286543578404</v>
      </c>
      <c r="F95" s="36">
        <f>D95*E95</f>
        <v>168.01057308715681</v>
      </c>
      <c r="G95" s="36">
        <f>(D95-($B$20+$B$21)*E95)*(E95-$B$14)</f>
        <v>148.80243099434884</v>
      </c>
      <c r="H95" s="9">
        <f>G95/F95*100</f>
        <v>88.56730160497483</v>
      </c>
      <c r="I95" s="37">
        <f>$B$19*(D95-(E95*($B$20+$B$21)))</f>
        <v>7248.8579022478425</v>
      </c>
      <c r="J95" s="38">
        <f t="shared" si="82"/>
        <v>148.80243099435077</v>
      </c>
      <c r="K95" s="64">
        <f t="shared" si="83"/>
        <v>1239.5270027910251</v>
      </c>
      <c r="L95" s="2">
        <f>K95/F95</f>
        <v>7.3776726072353238</v>
      </c>
      <c r="M95" s="38">
        <f t="shared" si="84"/>
        <v>181.75633336318541</v>
      </c>
      <c r="N95" s="38">
        <f t="shared" si="85"/>
        <v>194.01349646731197</v>
      </c>
      <c r="O95" s="38">
        <f>0.65*60*O$10/E95</f>
        <v>9.2851299256668671</v>
      </c>
      <c r="P95" s="34">
        <f>($B$20*$B$14+SQRT($B$20^2*$B$14^2+4*$B$20*($R$9-(D95*$B$14))))/(2*$B$20)</f>
        <v>19.596702497388701</v>
      </c>
    </row>
    <row r="96" spans="1:16">
      <c r="D96" s="56">
        <v>19</v>
      </c>
      <c r="E96" s="9">
        <f t="shared" si="81"/>
        <v>7.6668119300766753</v>
      </c>
      <c r="F96" s="36">
        <f t="shared" ref="F96:F101" si="86">D96*E96</f>
        <v>145.66942667145682</v>
      </c>
      <c r="G96" s="36">
        <f t="shared" ref="G96:G101" si="87">(D96-($B$20+$B$21)*E96)*(E96-$B$14)</f>
        <v>128.30963569001364</v>
      </c>
      <c r="H96" s="36">
        <f t="shared" ref="H96:H101" si="88">G96/F96*100</f>
        <v>88.082749154634556</v>
      </c>
      <c r="I96" s="37">
        <f t="shared" ref="I96:I101" si="89">$B$19*(D96-(E96*($B$20+$B$21)))</f>
        <v>6899.5272613227953</v>
      </c>
      <c r="J96" s="38">
        <f t="shared" si="82"/>
        <v>128.30963569001051</v>
      </c>
      <c r="K96" s="64">
        <f t="shared" si="83"/>
        <v>1122.9372519620053</v>
      </c>
      <c r="L96" s="38">
        <f t="shared" ref="L96:L101" si="90">K96/F96</f>
        <v>7.7088053246387851</v>
      </c>
      <c r="M96" s="38">
        <f t="shared" si="84"/>
        <v>156.72518763532696</v>
      </c>
      <c r="N96" s="38">
        <f t="shared" si="85"/>
        <v>167.29431692961398</v>
      </c>
      <c r="O96" s="38">
        <f t="shared" ref="O96:O101" si="91">0.65*60*O$10/E96</f>
        <v>10.173720277917386</v>
      </c>
      <c r="P96" s="34">
        <f t="shared" ref="P96:P101" si="92">($B$20*$B$14+SQRT($B$20^2*$B$14^2+4*$B$20*($R$9-(D96*$B$14))))/(2*$B$20)</f>
        <v>19.737522288791663</v>
      </c>
    </row>
    <row r="97" spans="4:16">
      <c r="D97" s="56">
        <v>18</v>
      </c>
      <c r="E97" s="9">
        <f t="shared" si="81"/>
        <v>6.9666032358928769</v>
      </c>
      <c r="F97" s="36">
        <f t="shared" si="86"/>
        <v>125.39885824607178</v>
      </c>
      <c r="G97" s="36">
        <f t="shared" si="87"/>
        <v>109.71996238854189</v>
      </c>
      <c r="H97" s="9">
        <f t="shared" si="88"/>
        <v>87.496779415038219</v>
      </c>
      <c r="I97" s="37">
        <f t="shared" si="89"/>
        <v>6548.7959847396778</v>
      </c>
      <c r="J97" s="38">
        <f t="shared" si="82"/>
        <v>109.71996238854418</v>
      </c>
      <c r="K97" s="64">
        <f t="shared" si="83"/>
        <v>1011.6720259129228</v>
      </c>
      <c r="L97" s="2">
        <f t="shared" si="90"/>
        <v>8.0676334702163377</v>
      </c>
      <c r="M97" s="38">
        <f t="shared" si="84"/>
        <v>134.01863079270174</v>
      </c>
      <c r="N97" s="38">
        <f t="shared" si="85"/>
        <v>143.0564903611795</v>
      </c>
      <c r="O97" s="38">
        <f t="shared" si="91"/>
        <v>11.196274189713218</v>
      </c>
      <c r="P97" s="34">
        <f t="shared" si="92"/>
        <v>19.877329189187638</v>
      </c>
    </row>
    <row r="98" spans="4:16">
      <c r="D98" s="56">
        <v>17</v>
      </c>
      <c r="E98" s="9">
        <f t="shared" si="81"/>
        <v>6.300308883040227</v>
      </c>
      <c r="F98" s="36">
        <f t="shared" si="86"/>
        <v>107.10525101168386</v>
      </c>
      <c r="G98" s="36">
        <f t="shared" si="87"/>
        <v>92.954743275575794</v>
      </c>
      <c r="H98" s="36">
        <f t="shared" si="88"/>
        <v>86.788222237054995</v>
      </c>
      <c r="I98" s="37">
        <f t="shared" si="89"/>
        <v>6196.6470886889183</v>
      </c>
      <c r="J98" s="38">
        <f t="shared" si="82"/>
        <v>92.954743275580384</v>
      </c>
      <c r="K98" s="65">
        <f t="shared" si="83"/>
        <v>905.79588869670442</v>
      </c>
      <c r="L98" s="38">
        <f t="shared" si="90"/>
        <v>8.4570633105364106</v>
      </c>
      <c r="M98" s="38">
        <f t="shared" si="84"/>
        <v>113.54057318544156</v>
      </c>
      <c r="N98" s="38">
        <f t="shared" si="85"/>
        <v>121.19744708203979</v>
      </c>
      <c r="O98" s="38">
        <f t="shared" si="91"/>
        <v>12.38034538432994</v>
      </c>
      <c r="P98" s="34">
        <f t="shared" si="92"/>
        <v>20.016144745775314</v>
      </c>
    </row>
    <row r="99" spans="4:16">
      <c r="D99" s="56">
        <v>15.92</v>
      </c>
      <c r="E99" s="9">
        <f t="shared" si="81"/>
        <v>5.6192818503821451</v>
      </c>
      <c r="F99" s="36">
        <f t="shared" si="86"/>
        <v>89.458967058083743</v>
      </c>
      <c r="G99" s="36">
        <f t="shared" si="87"/>
        <v>76.804443523665213</v>
      </c>
      <c r="H99" s="9">
        <f t="shared" si="88"/>
        <v>85.854382237386858</v>
      </c>
      <c r="I99" s="37">
        <f t="shared" si="89"/>
        <v>5814.7140186540264</v>
      </c>
      <c r="J99" s="38">
        <f t="shared" si="82"/>
        <v>76.804443523663807</v>
      </c>
      <c r="K99" s="64">
        <f t="shared" si="83"/>
        <v>797.57868522047625</v>
      </c>
      <c r="L99" s="2">
        <f t="shared" si="90"/>
        <v>8.915581203867756</v>
      </c>
      <c r="M99" s="38">
        <f t="shared" si="84"/>
        <v>93.813615460294145</v>
      </c>
      <c r="N99" s="38">
        <f t="shared" si="85"/>
        <v>100.14015586088058</v>
      </c>
      <c r="O99" s="38">
        <f t="shared" si="91"/>
        <v>13.880777308704586</v>
      </c>
      <c r="P99" s="34">
        <f t="shared" si="92"/>
        <v>20.164976031379268</v>
      </c>
    </row>
    <row r="100" spans="4:16">
      <c r="D100" s="56">
        <v>15</v>
      </c>
      <c r="E100" s="9">
        <f t="shared" si="81"/>
        <v>5.0711300763153488</v>
      </c>
      <c r="F100" s="36">
        <f t="shared" si="86"/>
        <v>76.06695114473024</v>
      </c>
      <c r="G100" s="36">
        <f t="shared" si="87"/>
        <v>64.572846102166935</v>
      </c>
      <c r="H100" s="36">
        <f t="shared" si="88"/>
        <v>84.889488970454678</v>
      </c>
      <c r="I100" s="37">
        <f t="shared" si="89"/>
        <v>5488.0267628100191</v>
      </c>
      <c r="J100" s="38">
        <f t="shared" si="82"/>
        <v>64.572846102164121</v>
      </c>
      <c r="K100" s="64">
        <f t="shared" si="83"/>
        <v>710.47575211296964</v>
      </c>
      <c r="L100" s="38">
        <f t="shared" si="90"/>
        <v>9.3401370952960807</v>
      </c>
      <c r="M100" s="38">
        <f t="shared" si="84"/>
        <v>78.873198938531985</v>
      </c>
      <c r="N100" s="38">
        <f t="shared" si="85"/>
        <v>84.192197435283305</v>
      </c>
      <c r="O100" s="38">
        <f t="shared" si="91"/>
        <v>15.381186998988262</v>
      </c>
      <c r="P100" s="34">
        <f t="shared" si="92"/>
        <v>20.290884286230426</v>
      </c>
    </row>
    <row r="101" spans="4:16">
      <c r="D101" s="56">
        <v>14</v>
      </c>
      <c r="E101" s="9">
        <f t="shared" si="81"/>
        <v>4.5091005980727896</v>
      </c>
      <c r="F101" s="36">
        <f t="shared" si="86"/>
        <v>63.127408373019051</v>
      </c>
      <c r="G101" s="36">
        <f t="shared" si="87"/>
        <v>52.788490310102411</v>
      </c>
      <c r="H101" s="9">
        <f t="shared" si="88"/>
        <v>83.62214079528799</v>
      </c>
      <c r="I101" s="37">
        <f t="shared" si="89"/>
        <v>5131.5195950005573</v>
      </c>
      <c r="J101" s="38">
        <f t="shared" si="82"/>
        <v>52.788490310101054</v>
      </c>
      <c r="K101" s="64">
        <f t="shared" si="83"/>
        <v>621.1676108939912</v>
      </c>
      <c r="L101" s="2">
        <f t="shared" si="90"/>
        <v>9.8399035680907367</v>
      </c>
      <c r="M101" s="38">
        <f t="shared" si="84"/>
        <v>64.479070526114327</v>
      </c>
      <c r="N101" s="38">
        <f t="shared" si="85"/>
        <v>68.82736733435722</v>
      </c>
      <c r="O101" s="38">
        <f t="shared" si="91"/>
        <v>17.298349926665544</v>
      </c>
      <c r="P101" s="34">
        <f t="shared" si="92"/>
        <v>20.426847741263408</v>
      </c>
    </row>
    <row r="102" spans="4:16">
      <c r="D102" s="56">
        <v>12.5</v>
      </c>
      <c r="E102" s="9">
        <f t="shared" si="81"/>
        <v>3.7329931822338289</v>
      </c>
      <c r="F102" s="36">
        <f>D102*E102</f>
        <v>46.662414777922862</v>
      </c>
      <c r="G102" s="36">
        <f>(D102-($B$20+$B$21)*E102)*(E102-$B$14)</f>
        <v>37.875916137103829</v>
      </c>
      <c r="H102" s="9">
        <f>G102/F102*100</f>
        <v>81.170072996359067</v>
      </c>
      <c r="I102" s="37">
        <f>$B$19*(D102-(E102*($B$20+$B$21)))</f>
        <v>4593.9608849826263</v>
      </c>
      <c r="J102" s="38">
        <f>(($B$91*0.0254)^4)*($B$92*0.0254)*(I102^3)*2*$B$95*0.00000018</f>
        <v>37.875916137106813</v>
      </c>
      <c r="K102" s="66">
        <f>$K$90*0.6*((0.6*3.1416*($B$91*0.0254)^2*J102^2)^(1/3))/9.81*1000</f>
        <v>497.84185418891497</v>
      </c>
      <c r="L102" s="2">
        <f>K102/F102</f>
        <v>10.669011806574062</v>
      </c>
      <c r="M102" s="38">
        <f>1.30652287/($B$91*0.0254)*POWER(K102*0.00981,3/2)</f>
        <v>46.263946051482129</v>
      </c>
      <c r="N102" s="38">
        <f>POWER(I102/$B$94,3)*100</f>
        <v>49.383863372109538</v>
      </c>
      <c r="O102" s="38">
        <f>0.65*60*O$10/E102</f>
        <v>20.894760904257716</v>
      </c>
      <c r="P102" s="34">
        <f>($B$20*$B$14+SQRT($B$20^2*$B$14^2+4*$B$20*($R$9-(D102*$B$14))))/(2*$B$20)</f>
        <v>20.629087982047256</v>
      </c>
    </row>
    <row r="103" spans="4:16">
      <c r="D103" s="60">
        <v>11</v>
      </c>
      <c r="E103" s="17">
        <f t="shared" si="81"/>
        <v>3.0385711990309314</v>
      </c>
      <c r="F103" s="61">
        <f>D103*E103</f>
        <v>33.424283189340244</v>
      </c>
      <c r="G103" s="61">
        <f>(D103-($B$20+$B$21)*E103)*(E103-$B$14)</f>
        <v>26.009208246002459</v>
      </c>
      <c r="H103" s="61">
        <f>G103/F103*100</f>
        <v>77.815306011700443</v>
      </c>
      <c r="I103" s="62">
        <f>$B$19*(D103-(E103*($B$20+$B$21)))</f>
        <v>4052.9877238805075</v>
      </c>
      <c r="J103" s="38">
        <f>(($B$91*0.0254)^4)*($B$92*0.0254)*(I103^3)*2*$B$95*0.00000018</f>
        <v>26.009208246004157</v>
      </c>
      <c r="K103" s="36">
        <f>$K$90*0.6*((0.6*3.1416*($B$91*0.0254)^2*J103^2)^(1/3))/9.81*1000</f>
        <v>387.49615357657046</v>
      </c>
      <c r="L103" s="38">
        <f>K103/F103</f>
        <v>11.593252468018573</v>
      </c>
      <c r="M103" s="38">
        <f>1.30652287/($B$91*0.0254)*POWER(K103*0.00981,3/2)</f>
        <v>31.769227779972969</v>
      </c>
      <c r="N103" s="38">
        <f>POWER(I103/$B$94,3)*100</f>
        <v>33.911659899866045</v>
      </c>
      <c r="O103" s="38">
        <f>0.65*60*O$10/E103</f>
        <v>25.669959626049227</v>
      </c>
      <c r="P103" s="34">
        <f>($B$20*$B$14+SQRT($B$20^2*$B$14^2+4*$B$20*($R$9-(D103*$B$14))))/(2*$B$20)</f>
        <v>20.829335994221449</v>
      </c>
    </row>
  </sheetData>
  <sheetCalcPr fullCalcOnLoad="1"/>
  <mergeCells count="5">
    <mergeCell ref="O9:P9"/>
    <mergeCell ref="O31:P31"/>
    <mergeCell ref="O51:P51"/>
    <mergeCell ref="O71:P71"/>
    <mergeCell ref="O88:P88"/>
  </mergeCells>
  <phoneticPr fontId="1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99"/>
  <sheetViews>
    <sheetView topLeftCell="A157" workbookViewId="0">
      <selection activeCell="N225" sqref="N225"/>
    </sheetView>
  </sheetViews>
  <sheetFormatPr baseColWidth="10" defaultRowHeight="15"/>
  <sheetData>
    <row r="1" spans="1:18" ht="20">
      <c r="B1" s="95" t="s">
        <v>284</v>
      </c>
      <c r="C1" s="8"/>
      <c r="D1" s="8"/>
      <c r="E1" s="8"/>
      <c r="F1" s="8"/>
    </row>
    <row r="7" spans="1:18" ht="16">
      <c r="F7" t="s">
        <v>289</v>
      </c>
      <c r="H7" s="82" t="s">
        <v>346</v>
      </c>
      <c r="I7" s="83"/>
      <c r="J7" s="83"/>
      <c r="K7" s="83"/>
      <c r="L7" s="83"/>
      <c r="M7" s="83"/>
      <c r="N7" s="84"/>
    </row>
    <row r="8" spans="1:18" ht="17">
      <c r="F8" t="s">
        <v>291</v>
      </c>
      <c r="H8" s="85" t="s">
        <v>282</v>
      </c>
      <c r="I8" s="86"/>
      <c r="J8" s="86"/>
      <c r="K8" s="86"/>
      <c r="L8" s="86"/>
      <c r="M8" s="86"/>
      <c r="N8" s="87"/>
      <c r="R8" s="7" t="s">
        <v>16</v>
      </c>
    </row>
    <row r="9" spans="1:18">
      <c r="O9" s="186" t="s">
        <v>135</v>
      </c>
      <c r="P9" s="186"/>
      <c r="R9" s="7">
        <f>($B$20*$B$17^2+$B$14*(($B$18/$B$17)-$B$17*$B$20))/2</f>
        <v>22.60857142857143</v>
      </c>
    </row>
    <row r="10" spans="1:18" ht="16">
      <c r="D10" s="2"/>
      <c r="E10" s="2"/>
      <c r="F10" s="2"/>
      <c r="G10" s="2"/>
      <c r="H10" s="2"/>
      <c r="I10" s="2"/>
      <c r="J10" s="2"/>
      <c r="K10" s="4" t="s">
        <v>111</v>
      </c>
      <c r="L10" s="2"/>
      <c r="M10" s="2"/>
      <c r="N10" s="2"/>
      <c r="O10" s="89">
        <v>2</v>
      </c>
      <c r="P10" s="89" t="s">
        <v>394</v>
      </c>
      <c r="R10" t="s">
        <v>13</v>
      </c>
    </row>
    <row r="11" spans="1:18" ht="16">
      <c r="D11" s="2"/>
      <c r="E11" s="2"/>
      <c r="F11" s="2"/>
      <c r="G11" s="2"/>
      <c r="H11" s="2"/>
      <c r="I11" s="2"/>
      <c r="J11" s="2"/>
      <c r="K11" s="4">
        <v>1.34</v>
      </c>
      <c r="M11" s="2" t="s">
        <v>113</v>
      </c>
      <c r="N11" s="2" t="s">
        <v>113</v>
      </c>
      <c r="O11" s="89" t="s">
        <v>116</v>
      </c>
      <c r="R11" s="31" t="s">
        <v>22</v>
      </c>
    </row>
    <row r="12" spans="1:18">
      <c r="A12" s="5" t="s">
        <v>249</v>
      </c>
      <c r="B12" s="5">
        <v>13</v>
      </c>
      <c r="D12" s="11" t="s">
        <v>425</v>
      </c>
      <c r="E12" s="12" t="s">
        <v>426</v>
      </c>
      <c r="F12" s="12" t="s">
        <v>427</v>
      </c>
      <c r="G12" s="12" t="s">
        <v>302</v>
      </c>
      <c r="H12" s="12" t="s">
        <v>48</v>
      </c>
      <c r="I12" s="13" t="s">
        <v>43</v>
      </c>
      <c r="J12" s="2" t="s">
        <v>303</v>
      </c>
      <c r="K12" s="2" t="s">
        <v>428</v>
      </c>
      <c r="L12" s="9" t="s">
        <v>112</v>
      </c>
      <c r="M12" s="9" t="s">
        <v>123</v>
      </c>
      <c r="N12" s="9" t="s">
        <v>252</v>
      </c>
      <c r="O12" s="89" t="s">
        <v>118</v>
      </c>
      <c r="P12" t="s">
        <v>383</v>
      </c>
    </row>
    <row r="13" spans="1:18">
      <c r="A13" s="5" t="s">
        <v>109</v>
      </c>
      <c r="B13" s="5">
        <v>4</v>
      </c>
      <c r="D13" s="35">
        <v>20.8</v>
      </c>
      <c r="E13" s="9">
        <f t="shared" ref="E13:E25" si="0">(0.5+(0.00000036*$B$16*$B$19^3*($B$13*0.0254)*($B$12*0.0254)^4)*($B$20+$B$21)*$D13-(0.25-(0.00000036*$B$16*$B$19^3*($B$13*0.0254)*($B$12*0.0254)^4)*(($B$20+$B$21)^2*$B$14-($B$20+$B$21)*$D13))^(1/2))/((0.00000036*$B$16*$B$19^3*($B$13*0.0254)*($B$12*0.0254)^4)*($B$20+$B$21)^2)</f>
        <v>9.4252253994596469</v>
      </c>
      <c r="F13" s="36">
        <f t="shared" ref="F13:F25" si="1">D13*E13</f>
        <v>196.04468830876067</v>
      </c>
      <c r="G13" s="36">
        <f t="shared" ref="G13:G25" si="2">(D13-($B$20+$B$21)*E13)*(E13-$B$14)</f>
        <v>172.6032270666044</v>
      </c>
      <c r="H13" s="9">
        <f t="shared" ref="H13:H25" si="3">G13/F13*100</f>
        <v>88.042797055925774</v>
      </c>
      <c r="I13" s="37">
        <f t="shared" ref="I13:I25" si="4">$B$19*(D13-(E13*($B$20+$B$21)))</f>
        <v>7187.6828696410676</v>
      </c>
      <c r="J13" s="38">
        <f t="shared" ref="J13:J25" si="5">(($B$12*0.0254)^4)*($B$13*0.0254)*(I13^3)*2*$B$16*0.00000018</f>
        <v>172.60322706660307</v>
      </c>
      <c r="K13" s="36">
        <f t="shared" ref="K13:K25" si="6">$K$11*0.6*((0.6*3.1416*($B$12*0.0254)^2*J13^2)^(1/3))/9.81*1000</f>
        <v>1499.3570786191387</v>
      </c>
      <c r="L13" s="2">
        <f t="shared" ref="L13:L25" si="7">K13/F13</f>
        <v>7.6480372488221953</v>
      </c>
      <c r="M13" s="38">
        <f t="shared" ref="M13:M25" si="8">1.30652287/($B$12*0.0254)*POWER(K13*0.00981,3/2)</f>
        <v>223.20353572209081</v>
      </c>
      <c r="N13" s="38">
        <f t="shared" ref="N13:N25" si="9">POWER(I13/$B$15,3)*100</f>
        <v>200.51282445376017</v>
      </c>
      <c r="O13" s="38">
        <f t="shared" ref="O13:O25" si="10">0.65*60*O$10/E13</f>
        <v>8.2756641559438755</v>
      </c>
      <c r="P13" s="33">
        <f t="shared" ref="P13:P25" si="11">($B$20*$B$14+SQRT($B$20^2*$B$14^2+4*$B$20*($R$9-(D13*$B$14))))/(2*$B$20)</f>
        <v>9.197947675736037</v>
      </c>
    </row>
    <row r="14" spans="1:18">
      <c r="A14" s="10" t="s">
        <v>63</v>
      </c>
      <c r="B14" s="5">
        <v>0.3</v>
      </c>
      <c r="D14" s="56">
        <v>20.5</v>
      </c>
      <c r="E14" s="9">
        <f t="shared" si="0"/>
        <v>9.1839424300289547</v>
      </c>
      <c r="F14" s="36">
        <f t="shared" si="1"/>
        <v>188.27081981559357</v>
      </c>
      <c r="G14" s="36">
        <f t="shared" si="2"/>
        <v>165.80289664977806</v>
      </c>
      <c r="H14" s="36">
        <f t="shared" si="3"/>
        <v>88.066168093482432</v>
      </c>
      <c r="I14" s="37">
        <f t="shared" si="4"/>
        <v>7092.0203753177993</v>
      </c>
      <c r="J14" s="38">
        <f t="shared" si="5"/>
        <v>165.80289664977832</v>
      </c>
      <c r="K14" s="121">
        <f t="shared" si="6"/>
        <v>1459.7121041303492</v>
      </c>
      <c r="L14" s="38">
        <f t="shared" si="7"/>
        <v>7.7532572788502208</v>
      </c>
      <c r="M14" s="38">
        <f t="shared" si="8"/>
        <v>214.40962254381594</v>
      </c>
      <c r="N14" s="38">
        <f t="shared" si="9"/>
        <v>192.61289417858524</v>
      </c>
      <c r="O14" s="38">
        <f t="shared" si="10"/>
        <v>8.4930845978478207</v>
      </c>
      <c r="P14" s="34">
        <f t="shared" si="11"/>
        <v>9.222781114016648</v>
      </c>
    </row>
    <row r="15" spans="1:18">
      <c r="A15" s="4" t="s">
        <v>14</v>
      </c>
      <c r="B15" s="4">
        <v>5700</v>
      </c>
      <c r="D15" s="56">
        <v>20.5</v>
      </c>
      <c r="E15" s="9">
        <f t="shared" si="0"/>
        <v>9.1839424300289547</v>
      </c>
      <c r="F15" s="36">
        <f t="shared" si="1"/>
        <v>188.27081981559357</v>
      </c>
      <c r="G15" s="36">
        <f t="shared" si="2"/>
        <v>165.80289664977806</v>
      </c>
      <c r="H15" s="9">
        <f t="shared" si="3"/>
        <v>88.066168093482432</v>
      </c>
      <c r="I15" s="37">
        <f t="shared" si="4"/>
        <v>7092.0203753177993</v>
      </c>
      <c r="J15" s="38">
        <f t="shared" si="5"/>
        <v>165.80289664977832</v>
      </c>
      <c r="K15" s="65">
        <f t="shared" si="6"/>
        <v>1459.7121041303492</v>
      </c>
      <c r="L15" s="2">
        <f t="shared" si="7"/>
        <v>7.7532572788502208</v>
      </c>
      <c r="M15" s="38">
        <f t="shared" si="8"/>
        <v>214.40962254381594</v>
      </c>
      <c r="N15" s="38">
        <f t="shared" si="9"/>
        <v>192.61289417858524</v>
      </c>
      <c r="O15" s="38">
        <f t="shared" si="10"/>
        <v>8.4930845978478207</v>
      </c>
      <c r="P15" s="34">
        <f t="shared" si="11"/>
        <v>9.222781114016648</v>
      </c>
    </row>
    <row r="16" spans="1:18">
      <c r="A16" s="4" t="s">
        <v>110</v>
      </c>
      <c r="B16" s="4">
        <v>1.069</v>
      </c>
      <c r="D16" s="56">
        <v>19</v>
      </c>
      <c r="E16" s="9">
        <f t="shared" si="0"/>
        <v>8.0187090199807542</v>
      </c>
      <c r="F16" s="36">
        <f t="shared" si="1"/>
        <v>152.35547137963434</v>
      </c>
      <c r="G16" s="36">
        <f t="shared" si="2"/>
        <v>134.27665505140905</v>
      </c>
      <c r="H16" s="36">
        <f t="shared" si="3"/>
        <v>88.133792528410694</v>
      </c>
      <c r="I16" s="37">
        <f t="shared" si="4"/>
        <v>6610.5781144814628</v>
      </c>
      <c r="J16" s="38">
        <f t="shared" si="5"/>
        <v>134.27665505140925</v>
      </c>
      <c r="K16" s="64">
        <f t="shared" si="6"/>
        <v>1268.2537143241359</v>
      </c>
      <c r="L16" s="38">
        <f t="shared" si="7"/>
        <v>8.3243069831338268</v>
      </c>
      <c r="M16" s="38">
        <f t="shared" si="8"/>
        <v>173.64115771048154</v>
      </c>
      <c r="N16" s="38">
        <f t="shared" si="9"/>
        <v>155.98892222433358</v>
      </c>
      <c r="O16" s="38">
        <f t="shared" si="10"/>
        <v>9.727251581974377</v>
      </c>
      <c r="P16" s="34">
        <f t="shared" si="11"/>
        <v>9.3459424282047987</v>
      </c>
    </row>
    <row r="17" spans="1:21">
      <c r="A17" s="5" t="s">
        <v>383</v>
      </c>
      <c r="B17" s="5">
        <v>14</v>
      </c>
      <c r="D17" s="56">
        <v>18</v>
      </c>
      <c r="E17" s="9">
        <f t="shared" si="0"/>
        <v>7.2808058633933639</v>
      </c>
      <c r="F17" s="36">
        <f t="shared" si="1"/>
        <v>131.05450554108054</v>
      </c>
      <c r="G17" s="36">
        <f t="shared" si="2"/>
        <v>115.48932708879951</v>
      </c>
      <c r="H17" s="9">
        <f t="shared" si="3"/>
        <v>88.123126032166866</v>
      </c>
      <c r="I17" s="37">
        <f t="shared" si="4"/>
        <v>6286.6587543821042</v>
      </c>
      <c r="J17" s="38">
        <f t="shared" si="5"/>
        <v>115.48932708879882</v>
      </c>
      <c r="K17" s="64">
        <f t="shared" si="6"/>
        <v>1147.0095507300714</v>
      </c>
      <c r="L17" s="2">
        <f t="shared" si="7"/>
        <v>8.7521565626030924</v>
      </c>
      <c r="M17" s="38">
        <f t="shared" si="8"/>
        <v>149.34614249383665</v>
      </c>
      <c r="N17" s="38">
        <f t="shared" si="9"/>
        <v>134.16372082025725</v>
      </c>
      <c r="O17" s="38">
        <f t="shared" si="10"/>
        <v>10.713099822118668</v>
      </c>
      <c r="P17" s="34">
        <f t="shared" si="11"/>
        <v>9.4271416472347322</v>
      </c>
    </row>
    <row r="18" spans="1:21" ht="17">
      <c r="A18" s="5" t="s">
        <v>17</v>
      </c>
      <c r="B18" s="5">
        <v>320</v>
      </c>
      <c r="D18" s="56">
        <v>17</v>
      </c>
      <c r="E18" s="9">
        <f t="shared" si="0"/>
        <v>6.5748542145050655</v>
      </c>
      <c r="F18" s="36">
        <f t="shared" si="1"/>
        <v>111.77252164658611</v>
      </c>
      <c r="G18" s="36">
        <f t="shared" si="2"/>
        <v>98.42127131105741</v>
      </c>
      <c r="H18" s="36">
        <f t="shared" si="3"/>
        <v>88.054979758134053</v>
      </c>
      <c r="I18" s="37">
        <f t="shared" si="4"/>
        <v>5960.3110796976152</v>
      </c>
      <c r="J18" s="38">
        <f t="shared" si="5"/>
        <v>98.421271311058348</v>
      </c>
      <c r="K18" s="64">
        <f t="shared" si="6"/>
        <v>1031.0153088797761</v>
      </c>
      <c r="L18" s="38">
        <f t="shared" si="7"/>
        <v>9.2242287611596225</v>
      </c>
      <c r="M18" s="38">
        <f t="shared" si="8"/>
        <v>127.27442076395553</v>
      </c>
      <c r="N18" s="38">
        <f t="shared" si="9"/>
        <v>114.33579448253899</v>
      </c>
      <c r="O18" s="38">
        <f t="shared" si="10"/>
        <v>11.863380913894773</v>
      </c>
      <c r="P18" s="34">
        <f t="shared" si="11"/>
        <v>9.507636301056861</v>
      </c>
      <c r="S18">
        <v>671.75</v>
      </c>
      <c r="T18">
        <v>971.75</v>
      </c>
      <c r="U18">
        <v>1583.9524999999999</v>
      </c>
    </row>
    <row r="19" spans="1:21">
      <c r="A19" s="5" t="s">
        <v>157</v>
      </c>
      <c r="B19" s="5">
        <v>380</v>
      </c>
      <c r="D19" s="56">
        <v>16</v>
      </c>
      <c r="E19" s="9">
        <f t="shared" si="0"/>
        <v>5.9015836216320059</v>
      </c>
      <c r="F19" s="36">
        <f t="shared" si="1"/>
        <v>94.425337946112094</v>
      </c>
      <c r="G19" s="36">
        <f t="shared" si="2"/>
        <v>83.013695114786984</v>
      </c>
      <c r="H19" s="9">
        <f t="shared" si="3"/>
        <v>87.914639142898636</v>
      </c>
      <c r="I19" s="37">
        <f t="shared" si="4"/>
        <v>5631.4796447559675</v>
      </c>
      <c r="J19" s="38">
        <f t="shared" si="5"/>
        <v>83.013695114787325</v>
      </c>
      <c r="K19" s="64">
        <f t="shared" si="6"/>
        <v>920.39086016093518</v>
      </c>
      <c r="L19" s="2">
        <f t="shared" si="7"/>
        <v>9.7472869060441809</v>
      </c>
      <c r="M19" s="38">
        <f t="shared" si="8"/>
        <v>107.34996429601138</v>
      </c>
      <c r="N19" s="38">
        <f t="shared" si="9"/>
        <v>96.436843961129028</v>
      </c>
      <c r="O19" s="38">
        <f t="shared" si="10"/>
        <v>13.216791458159516</v>
      </c>
      <c r="P19" s="34">
        <f t="shared" si="11"/>
        <v>9.5874444180009419</v>
      </c>
    </row>
    <row r="20" spans="1:21">
      <c r="A20" s="5" t="s">
        <v>158</v>
      </c>
      <c r="B20" s="8">
        <v>0.2</v>
      </c>
      <c r="D20" s="56">
        <v>16.47</v>
      </c>
      <c r="E20" s="9">
        <f t="shared" si="0"/>
        <v>6.2139029185646164</v>
      </c>
      <c r="F20" s="36">
        <f t="shared" si="1"/>
        <v>102.34298106875923</v>
      </c>
      <c r="G20" s="36">
        <f t="shared" si="2"/>
        <v>90.05229734760394</v>
      </c>
      <c r="H20" s="36">
        <f t="shared" si="3"/>
        <v>87.990692089672677</v>
      </c>
      <c r="I20" s="37">
        <f t="shared" si="4"/>
        <v>5786.343378189089</v>
      </c>
      <c r="J20" s="38">
        <f t="shared" si="5"/>
        <v>90.05229734760519</v>
      </c>
      <c r="K20" s="65">
        <f t="shared" si="6"/>
        <v>971.70774584280389</v>
      </c>
      <c r="L20" s="38">
        <f t="shared" si="7"/>
        <v>9.4946203021969922</v>
      </c>
      <c r="M20" s="38">
        <f t="shared" si="8"/>
        <v>116.45200098215125</v>
      </c>
      <c r="N20" s="38">
        <f t="shared" si="9"/>
        <v>104.61357412947206</v>
      </c>
      <c r="O20" s="38">
        <f t="shared" si="10"/>
        <v>12.552497363125468</v>
      </c>
      <c r="P20" s="34">
        <f t="shared" si="11"/>
        <v>9.5500189969412919</v>
      </c>
    </row>
    <row r="21" spans="1:21">
      <c r="A21" s="5" t="s">
        <v>250</v>
      </c>
      <c r="B21" s="5">
        <v>0</v>
      </c>
      <c r="D21" s="56">
        <v>15</v>
      </c>
      <c r="E21" s="9">
        <f t="shared" si="0"/>
        <v>5.2617518260152023</v>
      </c>
      <c r="F21" s="36">
        <f t="shared" si="1"/>
        <v>78.926277390228037</v>
      </c>
      <c r="G21" s="36">
        <f t="shared" si="2"/>
        <v>69.204776044074094</v>
      </c>
      <c r="H21" s="9">
        <f t="shared" si="3"/>
        <v>87.68280771929885</v>
      </c>
      <c r="I21" s="37">
        <f t="shared" si="4"/>
        <v>5300.1068612228446</v>
      </c>
      <c r="J21" s="38">
        <f t="shared" si="5"/>
        <v>69.204776044074407</v>
      </c>
      <c r="K21" s="64">
        <f t="shared" si="6"/>
        <v>815.26070831389552</v>
      </c>
      <c r="L21" s="2">
        <f t="shared" si="7"/>
        <v>10.329395168139959</v>
      </c>
      <c r="M21" s="38">
        <f t="shared" si="8"/>
        <v>89.49282678204132</v>
      </c>
      <c r="N21" s="38">
        <f t="shared" si="9"/>
        <v>80.395050232361669</v>
      </c>
      <c r="O21" s="38">
        <f t="shared" si="10"/>
        <v>14.823960266303644</v>
      </c>
      <c r="P21" s="34">
        <f t="shared" si="11"/>
        <v>9.6665832704210164</v>
      </c>
    </row>
    <row r="22" spans="1:21">
      <c r="D22" s="56">
        <v>14</v>
      </c>
      <c r="E22" s="9">
        <f t="shared" si="0"/>
        <v>4.656146311113063</v>
      </c>
      <c r="F22" s="36">
        <f t="shared" si="1"/>
        <v>65.186048355582884</v>
      </c>
      <c r="G22" s="36">
        <f t="shared" si="2"/>
        <v>56.929477440151317</v>
      </c>
      <c r="H22" s="9">
        <f t="shared" si="3"/>
        <v>87.333837341400326</v>
      </c>
      <c r="I22" s="37">
        <f t="shared" si="4"/>
        <v>4966.1328803554079</v>
      </c>
      <c r="J22" s="38">
        <f t="shared" si="5"/>
        <v>56.929477440152311</v>
      </c>
      <c r="K22" s="64">
        <f t="shared" si="6"/>
        <v>715.7542439943395</v>
      </c>
      <c r="L22" s="2">
        <f t="shared" si="7"/>
        <v>10.98017539105879</v>
      </c>
      <c r="M22" s="38">
        <f t="shared" si="8"/>
        <v>73.618905436511653</v>
      </c>
      <c r="N22" s="38">
        <f t="shared" si="9"/>
        <v>66.134860339527577</v>
      </c>
      <c r="O22" s="38">
        <f t="shared" si="10"/>
        <v>16.752050899653518</v>
      </c>
      <c r="P22" s="34">
        <f t="shared" si="11"/>
        <v>9.7450694183448796</v>
      </c>
    </row>
    <row r="23" spans="1:21">
      <c r="D23" s="56">
        <v>13</v>
      </c>
      <c r="E23" s="9">
        <f t="shared" si="0"/>
        <v>4.0855859631069888</v>
      </c>
      <c r="F23" s="36">
        <f t="shared" si="1"/>
        <v>53.112617520390856</v>
      </c>
      <c r="G23" s="36">
        <f t="shared" si="2"/>
        <v>46.119350145789902</v>
      </c>
      <c r="H23" s="36">
        <f t="shared" si="3"/>
        <v>86.833133629845833</v>
      </c>
      <c r="I23" s="37">
        <f t="shared" si="4"/>
        <v>4629.495466803869</v>
      </c>
      <c r="J23" s="38">
        <f t="shared" si="5"/>
        <v>46.119350145789248</v>
      </c>
      <c r="K23" s="64">
        <f t="shared" si="6"/>
        <v>622.0060176093599</v>
      </c>
      <c r="L23" s="38">
        <f t="shared" si="7"/>
        <v>11.711078207933566</v>
      </c>
      <c r="M23" s="38">
        <f t="shared" si="8"/>
        <v>59.639684568429857</v>
      </c>
      <c r="N23" s="38">
        <f t="shared" si="9"/>
        <v>53.576757033260805</v>
      </c>
      <c r="O23" s="38">
        <f t="shared" si="10"/>
        <v>19.091508709972878</v>
      </c>
      <c r="P23" s="34">
        <f t="shared" si="11"/>
        <v>9.8229187499356758</v>
      </c>
    </row>
    <row r="24" spans="1:21">
      <c r="D24" s="56">
        <v>13.54</v>
      </c>
      <c r="E24" s="9">
        <f t="shared" si="0"/>
        <v>4.3892852322241769</v>
      </c>
      <c r="F24" s="36">
        <f t="shared" si="1"/>
        <v>59.430922044315352</v>
      </c>
      <c r="G24" s="36">
        <f t="shared" si="2"/>
        <v>51.779114188284552</v>
      </c>
      <c r="H24" s="9">
        <f t="shared" si="3"/>
        <v>87.124871038808479</v>
      </c>
      <c r="I24" s="37">
        <f t="shared" si="4"/>
        <v>4811.6143223509616</v>
      </c>
      <c r="J24" s="38">
        <f t="shared" si="5"/>
        <v>51.779114188285433</v>
      </c>
      <c r="K24" s="66">
        <f t="shared" si="6"/>
        <v>671.90655474562277</v>
      </c>
      <c r="L24" s="2">
        <f t="shared" si="7"/>
        <v>11.305672731185425</v>
      </c>
      <c r="M24" s="38">
        <f t="shared" si="8"/>
        <v>66.95866328688939</v>
      </c>
      <c r="N24" s="38">
        <f t="shared" si="9"/>
        <v>60.151693627376922</v>
      </c>
      <c r="O24" s="38">
        <f t="shared" si="10"/>
        <v>17.770547110349252</v>
      </c>
      <c r="P24" s="34">
        <f t="shared" si="11"/>
        <v>9.7809582671122186</v>
      </c>
    </row>
    <row r="25" spans="1:21">
      <c r="D25" s="60">
        <v>10.32</v>
      </c>
      <c r="E25" s="17">
        <f t="shared" si="0"/>
        <v>2.7359679565282136</v>
      </c>
      <c r="F25" s="61">
        <f t="shared" si="1"/>
        <v>28.235189311371165</v>
      </c>
      <c r="G25" s="61">
        <f t="shared" si="2"/>
        <v>23.806243256933026</v>
      </c>
      <c r="H25" s="61">
        <f t="shared" si="3"/>
        <v>84.314091166180106</v>
      </c>
      <c r="I25" s="62">
        <f t="shared" si="4"/>
        <v>3713.6664353038559</v>
      </c>
      <c r="J25" s="38">
        <f t="shared" si="5"/>
        <v>23.806243256932635</v>
      </c>
      <c r="K25" s="38">
        <f t="shared" si="6"/>
        <v>400.25157067640447</v>
      </c>
      <c r="L25" s="38">
        <f t="shared" si="7"/>
        <v>14.17562907981676</v>
      </c>
      <c r="M25" s="38">
        <f t="shared" si="8"/>
        <v>30.785274166149588</v>
      </c>
      <c r="N25" s="38">
        <f t="shared" si="9"/>
        <v>27.655665286251541</v>
      </c>
      <c r="O25" s="38">
        <f t="shared" si="10"/>
        <v>28.509105822634535</v>
      </c>
      <c r="P25" s="34">
        <f t="shared" si="11"/>
        <v>10.028530110439364</v>
      </c>
    </row>
    <row r="26" spans="1:21">
      <c r="D26" s="36"/>
      <c r="E26" s="9"/>
      <c r="F26" s="36"/>
      <c r="G26" s="36"/>
      <c r="H26" s="36"/>
      <c r="I26" s="36"/>
      <c r="J26" s="38"/>
      <c r="K26" s="38"/>
      <c r="L26" s="38"/>
      <c r="M26" s="38"/>
      <c r="N26" s="38"/>
      <c r="O26" s="38"/>
      <c r="P26" s="92"/>
    </row>
    <row r="27" spans="1:21">
      <c r="D27" s="36"/>
      <c r="E27" s="9"/>
      <c r="F27" s="9"/>
      <c r="G27" s="36"/>
      <c r="H27" s="9"/>
      <c r="I27" s="36"/>
      <c r="J27" s="36"/>
      <c r="K27" s="36"/>
      <c r="L27" s="9"/>
      <c r="M27" s="36"/>
      <c r="N27" s="36"/>
      <c r="O27" s="36"/>
      <c r="P27" s="88"/>
    </row>
    <row r="28" spans="1:21">
      <c r="D28" s="36"/>
      <c r="E28" s="9"/>
      <c r="F28" s="9"/>
      <c r="G28" s="36"/>
      <c r="H28" s="9"/>
      <c r="I28" s="36"/>
      <c r="J28" s="36"/>
      <c r="K28" s="36"/>
      <c r="L28" s="9"/>
      <c r="M28" s="36"/>
      <c r="N28" s="36"/>
      <c r="O28" s="36"/>
      <c r="P28" s="88"/>
    </row>
    <row r="29" spans="1:21">
      <c r="D29" s="36"/>
      <c r="E29" s="9"/>
      <c r="F29" s="9"/>
      <c r="G29" s="36"/>
      <c r="H29" s="9"/>
      <c r="I29" s="36"/>
      <c r="J29" s="36"/>
      <c r="K29" s="36"/>
      <c r="L29" s="9"/>
      <c r="M29" s="36"/>
      <c r="N29" s="36"/>
      <c r="O29" s="36"/>
      <c r="P29" s="88"/>
    </row>
    <row r="30" spans="1:21">
      <c r="H30" s="57" t="s">
        <v>380</v>
      </c>
      <c r="I30" s="90"/>
      <c r="J30" s="90"/>
      <c r="K30" s="91"/>
    </row>
    <row r="31" spans="1:21">
      <c r="O31" s="186" t="s">
        <v>407</v>
      </c>
      <c r="P31" s="186"/>
    </row>
    <row r="32" spans="1:21">
      <c r="D32" s="2"/>
      <c r="E32" s="2"/>
      <c r="F32" s="2"/>
      <c r="G32" s="2"/>
      <c r="H32" s="2"/>
      <c r="I32" s="2"/>
      <c r="J32" s="2"/>
      <c r="K32" s="4" t="s">
        <v>111</v>
      </c>
      <c r="L32" s="2"/>
      <c r="M32" s="2"/>
      <c r="N32" s="2"/>
      <c r="O32" s="89">
        <v>1.25</v>
      </c>
      <c r="P32" s="89" t="s">
        <v>394</v>
      </c>
    </row>
    <row r="33" spans="1:16">
      <c r="D33" s="2"/>
      <c r="E33" s="2"/>
      <c r="F33" s="2"/>
      <c r="G33" s="2"/>
      <c r="H33" s="2"/>
      <c r="I33" s="2"/>
      <c r="J33" s="2"/>
      <c r="K33" s="4">
        <v>1.34</v>
      </c>
      <c r="M33" s="2" t="s">
        <v>113</v>
      </c>
      <c r="N33" s="2" t="s">
        <v>113</v>
      </c>
      <c r="O33" s="89" t="s">
        <v>116</v>
      </c>
    </row>
    <row r="34" spans="1:16">
      <c r="A34" s="5" t="s">
        <v>249</v>
      </c>
      <c r="B34" s="5">
        <v>13</v>
      </c>
      <c r="D34" s="11" t="s">
        <v>425</v>
      </c>
      <c r="E34" s="12" t="s">
        <v>426</v>
      </c>
      <c r="F34" s="12" t="s">
        <v>427</v>
      </c>
      <c r="G34" s="12" t="s">
        <v>302</v>
      </c>
      <c r="H34" s="12" t="s">
        <v>48</v>
      </c>
      <c r="I34" s="13" t="s">
        <v>43</v>
      </c>
      <c r="J34" s="2" t="s">
        <v>303</v>
      </c>
      <c r="K34" s="2" t="s">
        <v>428</v>
      </c>
      <c r="L34" s="9" t="s">
        <v>112</v>
      </c>
      <c r="M34" s="9" t="s">
        <v>123</v>
      </c>
      <c r="N34" s="9" t="s">
        <v>252</v>
      </c>
      <c r="O34" s="89" t="s">
        <v>118</v>
      </c>
      <c r="P34" t="s">
        <v>383</v>
      </c>
    </row>
    <row r="35" spans="1:16">
      <c r="A35" s="5" t="s">
        <v>109</v>
      </c>
      <c r="B35" s="5">
        <v>6.5</v>
      </c>
      <c r="D35" s="35">
        <v>17.100000000000001</v>
      </c>
      <c r="E35" s="9">
        <f t="shared" ref="E35:E44" si="12">(0.5+(0.00000036*$B$38*$B$19^3*($B$35*0.0254)*($B$34*0.0254)^4)*($B$20+$B$21)*$D35-(0.25-(0.00000036*$B$38*$B$19^3*($B$35*0.0254)*($B$34*0.0254)^4)*(($B$20+$B$21)^2*$B$14-($B$20+$B$21)*$D35))^(1/2))/((0.00000036*$B$38*$B$19^3*($B$35*0.0254)*($B$34*0.0254)^4)*($B$20+$B$21)^2)</f>
        <v>9.7362149061608498</v>
      </c>
      <c r="F35" s="36">
        <f t="shared" ref="F35:F44" si="13">D35*E35</f>
        <v>166.48927489535055</v>
      </c>
      <c r="G35" s="36">
        <f t="shared" ref="G35:G44" si="14">(D35-($B$20+$B$21)*E35)*(E35-$B$14)</f>
        <v>142.98467164993045</v>
      </c>
      <c r="H35" s="9">
        <f t="shared" ref="H35:H44" si="15">G35/F35*100</f>
        <v>85.882211775987187</v>
      </c>
      <c r="I35" s="37">
        <f t="shared" ref="I35:I44" si="16">$B$19*(D35-(E35*($B$20+$B$21)))</f>
        <v>5758.0476671317756</v>
      </c>
      <c r="J35" s="38">
        <f t="shared" ref="J35:J44" si="17">(($B$34*0.0254)^4)*($B$35*0.0254)*(I35^3)*2*$B$38*0.00000018</f>
        <v>142.98467164992945</v>
      </c>
      <c r="K35" s="36">
        <f t="shared" ref="K35:K44" si="18">$K$33*0.6*((0.6*3.1416*($B$34*0.0254)^2*J35^2)^(1/3))/9.81*1000</f>
        <v>1322.5094636859237</v>
      </c>
      <c r="L35" s="2">
        <f t="shared" ref="L35:L44" si="19">K35/F35</f>
        <v>7.9435114635294548</v>
      </c>
      <c r="M35" s="38">
        <f t="shared" ref="M35:M44" si="20">1.30652287/($B$34*0.0254)*POWER(K35*0.00981,3/2)</f>
        <v>184.90201376137313</v>
      </c>
      <c r="N35" s="38">
        <f t="shared" ref="N35:N44" si="21">POWER(I35/$B$37,3)*100</f>
        <v>165.28707100400658</v>
      </c>
      <c r="O35" s="38">
        <f t="shared" ref="O35:O44" si="22">0.65*60*O$10/E35</f>
        <v>8.0113268607745525</v>
      </c>
      <c r="P35" s="33">
        <f t="shared" ref="P35:P44" si="23">($B$20*$B$14+SQRT($B$20^2*$B$14^2+4*$B$20*($R$9-(D35*$B$14))))/(2*$B$20)</f>
        <v>9.4996180212272385</v>
      </c>
    </row>
    <row r="36" spans="1:16">
      <c r="A36" s="10"/>
      <c r="B36" s="5"/>
      <c r="D36" s="56">
        <v>14.8</v>
      </c>
      <c r="E36" s="9">
        <f t="shared" si="12"/>
        <v>7.557217228941199</v>
      </c>
      <c r="F36" s="36">
        <f t="shared" si="13"/>
        <v>111.84681498832975</v>
      </c>
      <c r="G36" s="36">
        <f t="shared" si="14"/>
        <v>96.437941572985082</v>
      </c>
      <c r="H36" s="36">
        <f t="shared" si="15"/>
        <v>86.22323450430622</v>
      </c>
      <c r="I36" s="37">
        <f t="shared" si="16"/>
        <v>5049.6514906004695</v>
      </c>
      <c r="J36" s="38">
        <f t="shared" si="17"/>
        <v>96.437941572985196</v>
      </c>
      <c r="K36" s="63">
        <f t="shared" si="18"/>
        <v>1017.1174099726193</v>
      </c>
      <c r="L36" s="38">
        <f t="shared" si="19"/>
        <v>9.0938433077307259</v>
      </c>
      <c r="M36" s="38">
        <f t="shared" si="20"/>
        <v>124.70965869337223</v>
      </c>
      <c r="N36" s="38">
        <f t="shared" si="21"/>
        <v>111.48009581950249</v>
      </c>
      <c r="O36" s="38">
        <f t="shared" si="22"/>
        <v>10.321259484415821</v>
      </c>
      <c r="P36" s="34">
        <f t="shared" si="23"/>
        <v>9.6823321985155939</v>
      </c>
    </row>
    <row r="37" spans="1:16">
      <c r="A37" s="4" t="s">
        <v>14</v>
      </c>
      <c r="B37" s="4">
        <v>4870</v>
      </c>
      <c r="D37" s="56">
        <v>14</v>
      </c>
      <c r="E37" s="9">
        <f t="shared" si="12"/>
        <v>6.8547467252610277</v>
      </c>
      <c r="F37" s="36">
        <f t="shared" si="13"/>
        <v>95.966454153654382</v>
      </c>
      <c r="G37" s="36">
        <f t="shared" si="14"/>
        <v>82.7802284236747</v>
      </c>
      <c r="H37" s="9">
        <f t="shared" si="15"/>
        <v>86.259546790311887</v>
      </c>
      <c r="I37" s="37">
        <f t="shared" si="16"/>
        <v>4799.0392488801617</v>
      </c>
      <c r="J37" s="38">
        <f t="shared" si="17"/>
        <v>82.780228423674203</v>
      </c>
      <c r="K37" s="64">
        <f t="shared" si="18"/>
        <v>918.66438634862823</v>
      </c>
      <c r="L37" s="2">
        <f t="shared" si="19"/>
        <v>9.5727657591446569</v>
      </c>
      <c r="M37" s="38">
        <f t="shared" si="20"/>
        <v>107.04805458194974</v>
      </c>
      <c r="N37" s="38">
        <f t="shared" si="21"/>
        <v>95.692085978913212</v>
      </c>
      <c r="O37" s="38">
        <f t="shared" si="22"/>
        <v>11.378976222791042</v>
      </c>
      <c r="P37" s="34">
        <f t="shared" si="23"/>
        <v>9.7450694183448796</v>
      </c>
    </row>
    <row r="38" spans="1:16">
      <c r="A38" s="4" t="s">
        <v>110</v>
      </c>
      <c r="B38" s="4">
        <v>1.06</v>
      </c>
      <c r="D38" s="56">
        <v>13.22</v>
      </c>
      <c r="E38" s="9">
        <f t="shared" si="12"/>
        <v>6.1985942713018476</v>
      </c>
      <c r="F38" s="36">
        <f t="shared" si="13"/>
        <v>81.945416266610422</v>
      </c>
      <c r="G38" s="36">
        <f t="shared" si="14"/>
        <v>70.666817734845324</v>
      </c>
      <c r="H38" s="36">
        <f t="shared" si="15"/>
        <v>86.23644976667147</v>
      </c>
      <c r="I38" s="37">
        <f t="shared" si="16"/>
        <v>4552.5068353810602</v>
      </c>
      <c r="J38" s="38">
        <f t="shared" si="17"/>
        <v>70.666817734845267</v>
      </c>
      <c r="K38" s="65">
        <f t="shared" si="18"/>
        <v>826.70295492603987</v>
      </c>
      <c r="L38" s="38">
        <f t="shared" si="19"/>
        <v>10.088458788669175</v>
      </c>
      <c r="M38" s="38">
        <f t="shared" si="20"/>
        <v>91.383480162625247</v>
      </c>
      <c r="N38" s="38">
        <f t="shared" si="21"/>
        <v>81.689255119342889</v>
      </c>
      <c r="O38" s="38">
        <f t="shared" si="22"/>
        <v>12.583498223318657</v>
      </c>
      <c r="P38" s="34">
        <f t="shared" si="23"/>
        <v>9.8058457497444085</v>
      </c>
    </row>
    <row r="39" spans="1:16">
      <c r="A39" s="5"/>
      <c r="B39" s="5"/>
      <c r="D39" s="56">
        <v>12.5</v>
      </c>
      <c r="E39" s="9">
        <f t="shared" si="12"/>
        <v>5.6187828318322701</v>
      </c>
      <c r="F39" s="36">
        <f t="shared" si="13"/>
        <v>70.23478539790338</v>
      </c>
      <c r="G39" s="36">
        <f t="shared" si="14"/>
        <v>60.507768265554702</v>
      </c>
      <c r="H39" s="9">
        <f t="shared" si="15"/>
        <v>86.150712816673533</v>
      </c>
      <c r="I39" s="37">
        <f t="shared" si="16"/>
        <v>4322.9725047807469</v>
      </c>
      <c r="J39" s="38">
        <f t="shared" si="17"/>
        <v>60.507768265555129</v>
      </c>
      <c r="K39" s="64">
        <f t="shared" si="18"/>
        <v>745.44091040104922</v>
      </c>
      <c r="L39" s="2">
        <f t="shared" si="19"/>
        <v>10.613557173669413</v>
      </c>
      <c r="M39" s="38">
        <f t="shared" si="20"/>
        <v>78.24620689341684</v>
      </c>
      <c r="N39" s="38">
        <f t="shared" si="21"/>
        <v>69.945621962112753</v>
      </c>
      <c r="O39" s="38">
        <f t="shared" si="22"/>
        <v>13.882010096226553</v>
      </c>
      <c r="P39" s="34">
        <f t="shared" si="23"/>
        <v>9.8616094002414023</v>
      </c>
    </row>
    <row r="40" spans="1:16">
      <c r="A40" s="5"/>
      <c r="B40" s="5"/>
      <c r="D40" s="56">
        <v>12</v>
      </c>
      <c r="E40" s="9">
        <f t="shared" si="12"/>
        <v>5.2310877155868374</v>
      </c>
      <c r="F40" s="36">
        <f t="shared" si="13"/>
        <v>62.773052587042045</v>
      </c>
      <c r="G40" s="36">
        <f t="shared" si="14"/>
        <v>54.014062112344554</v>
      </c>
      <c r="H40" s="9">
        <f t="shared" si="15"/>
        <v>86.046575538839463</v>
      </c>
      <c r="I40" s="37">
        <f t="shared" si="16"/>
        <v>4162.4373336154003</v>
      </c>
      <c r="J40" s="38">
        <f t="shared" si="17"/>
        <v>54.014062112344469</v>
      </c>
      <c r="K40" s="64">
        <f t="shared" si="18"/>
        <v>691.10445607499264</v>
      </c>
      <c r="L40" s="2">
        <f t="shared" si="19"/>
        <v>11.009572222359219</v>
      </c>
      <c r="M40" s="38">
        <f t="shared" si="20"/>
        <v>69.848807853029086</v>
      </c>
      <c r="N40" s="38">
        <f t="shared" si="21"/>
        <v>62.439043406246896</v>
      </c>
      <c r="O40" s="38">
        <f t="shared" si="22"/>
        <v>14.910856831474437</v>
      </c>
      <c r="P40" s="34">
        <f t="shared" si="23"/>
        <v>9.9001465190456059</v>
      </c>
    </row>
    <row r="41" spans="1:16">
      <c r="A41" s="5"/>
      <c r="B41" s="5"/>
      <c r="D41" s="56">
        <v>11.5</v>
      </c>
      <c r="E41" s="9">
        <f t="shared" si="12"/>
        <v>4.8558975325255735</v>
      </c>
      <c r="F41" s="36">
        <f t="shared" si="13"/>
        <v>55.842821624044099</v>
      </c>
      <c r="G41" s="36">
        <f t="shared" si="14"/>
        <v>47.968227306718042</v>
      </c>
      <c r="H41" s="36">
        <f t="shared" si="15"/>
        <v>85.89864536154542</v>
      </c>
      <c r="I41" s="37">
        <f t="shared" si="16"/>
        <v>4000.9517875280567</v>
      </c>
      <c r="J41" s="38">
        <f t="shared" si="17"/>
        <v>47.968227306718816</v>
      </c>
      <c r="K41" s="64">
        <f t="shared" si="18"/>
        <v>638.5205998662376</v>
      </c>
      <c r="L41" s="38">
        <f t="shared" si="19"/>
        <v>11.434246717778878</v>
      </c>
      <c r="M41" s="38">
        <f t="shared" si="20"/>
        <v>62.030577985944355</v>
      </c>
      <c r="N41" s="38">
        <f t="shared" si="21"/>
        <v>55.450194075302264</v>
      </c>
      <c r="O41" s="38">
        <f t="shared" si="22"/>
        <v>16.062941912909736</v>
      </c>
      <c r="P41" s="34">
        <f t="shared" si="23"/>
        <v>9.9385319196934301</v>
      </c>
    </row>
    <row r="42" spans="1:16">
      <c r="A42" s="5"/>
      <c r="B42" s="5"/>
      <c r="D42" s="56">
        <v>11</v>
      </c>
      <c r="E42" s="9">
        <f t="shared" si="12"/>
        <v>4.4934370369248784</v>
      </c>
      <c r="F42" s="36">
        <f t="shared" si="13"/>
        <v>49.427807406173663</v>
      </c>
      <c r="G42" s="36">
        <f t="shared" si="14"/>
        <v>42.359218347427507</v>
      </c>
      <c r="H42" s="9">
        <f t="shared" si="15"/>
        <v>85.699165247893902</v>
      </c>
      <c r="I42" s="37">
        <f t="shared" si="16"/>
        <v>3838.498785193709</v>
      </c>
      <c r="J42" s="38">
        <f t="shared" si="17"/>
        <v>42.359218347427429</v>
      </c>
      <c r="K42" s="64">
        <f t="shared" si="18"/>
        <v>587.72084165689978</v>
      </c>
      <c r="L42" s="2">
        <f t="shared" si="19"/>
        <v>11.890489837578592</v>
      </c>
      <c r="M42" s="38">
        <f t="shared" si="20"/>
        <v>54.777233695181891</v>
      </c>
      <c r="N42" s="38">
        <f t="shared" si="21"/>
        <v>48.966305617759623</v>
      </c>
      <c r="O42" s="38">
        <f t="shared" si="22"/>
        <v>17.358649817285514</v>
      </c>
      <c r="P42" s="34">
        <f t="shared" si="23"/>
        <v>9.9767673801132162</v>
      </c>
    </row>
    <row r="43" spans="1:16">
      <c r="A43" s="5"/>
      <c r="B43" s="5"/>
      <c r="D43" s="56">
        <v>10.5</v>
      </c>
      <c r="E43" s="9">
        <f t="shared" si="12"/>
        <v>4.1439377974430585</v>
      </c>
      <c r="F43" s="36">
        <f t="shared" si="13"/>
        <v>43.511346873152114</v>
      </c>
      <c r="G43" s="36">
        <f t="shared" si="14"/>
        <v>37.17553904718325</v>
      </c>
      <c r="H43" s="9">
        <f t="shared" si="15"/>
        <v>85.438722813064061</v>
      </c>
      <c r="I43" s="37">
        <f t="shared" si="16"/>
        <v>3675.0607273943274</v>
      </c>
      <c r="J43" s="38">
        <f t="shared" si="17"/>
        <v>37.175539047183726</v>
      </c>
      <c r="K43" s="66">
        <f t="shared" si="18"/>
        <v>538.73763638209311</v>
      </c>
      <c r="L43" s="2">
        <f t="shared" si="19"/>
        <v>12.381543553516414</v>
      </c>
      <c r="M43" s="38">
        <f t="shared" si="20"/>
        <v>48.073908574746319</v>
      </c>
      <c r="N43" s="38">
        <f t="shared" si="21"/>
        <v>42.97408869915818</v>
      </c>
      <c r="O43" s="38">
        <f t="shared" si="22"/>
        <v>18.822676355839242</v>
      </c>
      <c r="P43" s="34">
        <f t="shared" si="23"/>
        <v>10.014854643777431</v>
      </c>
    </row>
    <row r="44" spans="1:16">
      <c r="D44" s="60">
        <v>9</v>
      </c>
      <c r="E44" s="17">
        <f t="shared" si="12"/>
        <v>3.1756317827434812</v>
      </c>
      <c r="F44" s="61">
        <f t="shared" si="13"/>
        <v>28.58068604469133</v>
      </c>
      <c r="G44" s="61">
        <f t="shared" si="14"/>
        <v>24.054296507741835</v>
      </c>
      <c r="H44" s="17">
        <f t="shared" si="15"/>
        <v>84.162768066967928</v>
      </c>
      <c r="I44" s="62">
        <f t="shared" si="16"/>
        <v>3178.6519845114954</v>
      </c>
      <c r="J44" s="38">
        <f t="shared" si="17"/>
        <v>24.054296507741515</v>
      </c>
      <c r="K44" s="36">
        <f t="shared" si="18"/>
        <v>403.02709132570368</v>
      </c>
      <c r="L44" s="2">
        <f t="shared" si="19"/>
        <v>14.101379186472091</v>
      </c>
      <c r="M44" s="38">
        <f t="shared" si="20"/>
        <v>31.106046631235284</v>
      </c>
      <c r="N44" s="38">
        <f t="shared" si="21"/>
        <v>27.806226841997724</v>
      </c>
      <c r="O44" s="38">
        <f t="shared" si="22"/>
        <v>24.56204161447663</v>
      </c>
      <c r="P44" s="34">
        <f t="shared" si="23"/>
        <v>10.128244191382427</v>
      </c>
    </row>
    <row r="46" spans="1:16">
      <c r="D46" s="36"/>
      <c r="E46" s="9"/>
      <c r="F46" s="9"/>
      <c r="G46" s="36"/>
      <c r="H46" s="9"/>
      <c r="I46" s="36"/>
      <c r="J46" s="36"/>
      <c r="K46" s="36"/>
      <c r="L46" s="9"/>
      <c r="M46" s="36"/>
      <c r="N46" s="36"/>
      <c r="O46" s="36"/>
      <c r="P46" s="88"/>
    </row>
    <row r="47" spans="1:16">
      <c r="D47" s="36"/>
      <c r="E47" s="9"/>
      <c r="F47" s="9"/>
      <c r="G47" s="36"/>
      <c r="H47" s="9"/>
      <c r="I47" s="36"/>
      <c r="J47" s="36"/>
      <c r="K47" s="36"/>
      <c r="L47" s="9"/>
      <c r="M47" s="36"/>
      <c r="N47" s="36"/>
      <c r="O47" s="36"/>
      <c r="P47" s="88"/>
    </row>
    <row r="49" spans="1:16">
      <c r="H49" s="57" t="s">
        <v>281</v>
      </c>
      <c r="I49" s="90"/>
      <c r="J49" s="90"/>
      <c r="K49" s="91"/>
    </row>
    <row r="50" spans="1:16">
      <c r="O50" s="186" t="s">
        <v>407</v>
      </c>
      <c r="P50" s="186"/>
    </row>
    <row r="51" spans="1:16">
      <c r="D51" s="2"/>
      <c r="E51" s="2"/>
      <c r="F51" s="2"/>
      <c r="G51" s="2"/>
      <c r="H51" s="2"/>
      <c r="I51" s="2"/>
      <c r="J51" s="2"/>
      <c r="K51" s="4" t="s">
        <v>111</v>
      </c>
      <c r="L51" s="2"/>
      <c r="M51" s="2"/>
      <c r="N51" s="2"/>
      <c r="O51" s="89">
        <v>1.25</v>
      </c>
      <c r="P51" s="89" t="s">
        <v>394</v>
      </c>
    </row>
    <row r="52" spans="1:16">
      <c r="D52" s="2"/>
      <c r="E52" s="2"/>
      <c r="F52" s="2"/>
      <c r="G52" s="2"/>
      <c r="H52" s="2"/>
      <c r="I52" s="2"/>
      <c r="J52" s="2"/>
      <c r="K52" s="4">
        <v>1.165</v>
      </c>
      <c r="M52" s="2" t="s">
        <v>113</v>
      </c>
      <c r="N52" s="2" t="s">
        <v>113</v>
      </c>
      <c r="O52" s="89" t="s">
        <v>116</v>
      </c>
    </row>
    <row r="53" spans="1:16">
      <c r="A53" s="5" t="s">
        <v>249</v>
      </c>
      <c r="B53" s="5">
        <v>14</v>
      </c>
      <c r="D53" s="11" t="s">
        <v>425</v>
      </c>
      <c r="E53" s="12" t="s">
        <v>426</v>
      </c>
      <c r="F53" s="12" t="s">
        <v>427</v>
      </c>
      <c r="G53" s="12" t="s">
        <v>302</v>
      </c>
      <c r="H53" s="12" t="s">
        <v>48</v>
      </c>
      <c r="I53" s="13" t="s">
        <v>43</v>
      </c>
      <c r="J53" s="2" t="s">
        <v>303</v>
      </c>
      <c r="K53" s="2" t="s">
        <v>428</v>
      </c>
      <c r="L53" s="9" t="s">
        <v>112</v>
      </c>
      <c r="M53" s="9" t="s">
        <v>123</v>
      </c>
      <c r="N53" s="9" t="s">
        <v>252</v>
      </c>
      <c r="O53" s="89" t="s">
        <v>118</v>
      </c>
      <c r="P53" t="s">
        <v>383</v>
      </c>
    </row>
    <row r="54" spans="1:16">
      <c r="A54" s="5" t="s">
        <v>109</v>
      </c>
      <c r="B54" s="5">
        <v>4.7</v>
      </c>
      <c r="D54" s="35">
        <v>18.2</v>
      </c>
      <c r="E54" s="9">
        <f t="shared" ref="E54:E60" si="24">(0.5+(0.00000036*$B$57*$B$19^3*($B$54*0.0254)*($B$53*0.0254)^4)*($B$20+$B$21)*$D54-(0.25-(0.00000036*$B$57*$B$19^3*($B$54*0.0254)*($B$53*0.0254)^4)*(($B$20+$B$21)^2*$B$14-($B$20+$B$21)*$D54))^(1/2))/((0.00000036*$B$57*$B$19^3*($B$54*0.0254)*($B$53*0.0254)^4)*($B$20+$B$21)^2)</f>
        <v>9.6523627462743455</v>
      </c>
      <c r="F54" s="36">
        <f t="shared" ref="F54:F58" si="25">D54*E54</f>
        <v>175.67300198219309</v>
      </c>
      <c r="G54" s="36">
        <f t="shared" ref="G54:G58" si="26">(D54-($B$20+$B$21)*E54)*(E54-$B$14)</f>
        <v>152.15852242983658</v>
      </c>
      <c r="H54" s="9">
        <f t="shared" ref="H54:H58" si="27">G54/F54*100</f>
        <v>86.614630997915071</v>
      </c>
      <c r="I54" s="37">
        <f t="shared" ref="I54:I58" si="28">$B$19*(D54-(E54*($B$20+$B$21)))</f>
        <v>6182.4204312831498</v>
      </c>
      <c r="J54" s="38">
        <f t="shared" ref="J54:J58" si="29">(($B$53*0.0254)^4)*($B$54*0.0254)*(I54^3)*2*$B$57*0.00000018</f>
        <v>152.15852242983738</v>
      </c>
      <c r="K54" s="36">
        <f>$K$52*0.6*((0.6*3.1416*($B$53*0.0254)^2*J54^2)^(1/3))/9.81*1000</f>
        <v>1259.159957674467</v>
      </c>
      <c r="L54" s="2">
        <f t="shared" ref="L54:L58" si="30">K54/F54</f>
        <v>7.167635000636583</v>
      </c>
      <c r="M54" s="38">
        <f t="shared" ref="M54:M58" si="31">1.30652287/($B$53*0.0254)*POWER(K54*0.00981,3/2)</f>
        <v>159.5071412356217</v>
      </c>
      <c r="N54" s="38">
        <f t="shared" ref="N54:N58" si="32">POWER(I54/$B$56,3)*100</f>
        <v>168.0604708620817</v>
      </c>
      <c r="O54" s="38">
        <f t="shared" ref="O54:O58" si="33">0.65*60*O$10/E54</f>
        <v>8.0809229874940964</v>
      </c>
      <c r="P54" s="33">
        <f t="shared" ref="P54:P58" si="34">($B$20*$B$14+SQRT($B$20^2*$B$14^2+4*$B$20*($R$9-(D54*$B$14))))/(2*$B$20)</f>
        <v>9.4109587593756814</v>
      </c>
    </row>
    <row r="55" spans="1:16">
      <c r="A55" s="10"/>
      <c r="B55" s="5"/>
      <c r="D55" s="56">
        <v>14.8</v>
      </c>
      <c r="E55" s="9">
        <f t="shared" si="24"/>
        <v>6.7010105444918109</v>
      </c>
      <c r="F55" s="36">
        <f t="shared" si="25"/>
        <v>99.174956058478813</v>
      </c>
      <c r="G55" s="36">
        <f t="shared" si="26"/>
        <v>86.156308227670237</v>
      </c>
      <c r="H55" s="36">
        <f t="shared" si="27"/>
        <v>86.873049055719179</v>
      </c>
      <c r="I55" s="37">
        <f t="shared" si="28"/>
        <v>5114.7231986186225</v>
      </c>
      <c r="J55" s="38">
        <f t="shared" si="29"/>
        <v>86.156308227670138</v>
      </c>
      <c r="K55" s="63">
        <f t="shared" ref="K55:K58" si="35">$K$52*0.6*((0.6*3.1416*($B$53*0.0254)^2*J55^2)^(1/3))/9.81*1000</f>
        <v>861.80320256363621</v>
      </c>
      <c r="L55" s="38">
        <f t="shared" si="30"/>
        <v>8.6897260842290809</v>
      </c>
      <c r="M55" s="38">
        <f t="shared" si="31"/>
        <v>90.317296759684595</v>
      </c>
      <c r="N55" s="38">
        <f t="shared" si="32"/>
        <v>95.160425438263516</v>
      </c>
      <c r="O55" s="38">
        <f t="shared" si="33"/>
        <v>11.640035406915681</v>
      </c>
      <c r="P55" s="34">
        <f t="shared" si="34"/>
        <v>9.6823321985155939</v>
      </c>
    </row>
    <row r="56" spans="1:16">
      <c r="A56" s="4" t="s">
        <v>14</v>
      </c>
      <c r="B56" s="4">
        <v>5200</v>
      </c>
      <c r="D56" s="56">
        <v>14.6</v>
      </c>
      <c r="E56" s="9">
        <f t="shared" si="24"/>
        <v>6.5420269468806858</v>
      </c>
      <c r="F56" s="36">
        <f t="shared" si="25"/>
        <v>95.513593424458008</v>
      </c>
      <c r="G56" s="36">
        <f t="shared" si="26"/>
        <v>82.966491726528247</v>
      </c>
      <c r="H56" s="9">
        <f t="shared" si="27"/>
        <v>86.863543451693815</v>
      </c>
      <c r="I56" s="37">
        <f t="shared" si="28"/>
        <v>5050.805952037068</v>
      </c>
      <c r="J56" s="38">
        <f t="shared" si="29"/>
        <v>82.966491726528574</v>
      </c>
      <c r="K56" s="65">
        <f t="shared" si="35"/>
        <v>840.39836771388991</v>
      </c>
      <c r="L56" s="2">
        <f t="shared" si="30"/>
        <v>8.7987305008952834</v>
      </c>
      <c r="M56" s="38">
        <f t="shared" si="31"/>
        <v>86.97342549280944</v>
      </c>
      <c r="N56" s="38">
        <f t="shared" si="32"/>
        <v>91.637244123245893</v>
      </c>
      <c r="O56" s="38">
        <f t="shared" si="33"/>
        <v>11.922910228486801</v>
      </c>
      <c r="P56" s="34">
        <f t="shared" si="34"/>
        <v>9.6980551497599308</v>
      </c>
    </row>
    <row r="57" spans="1:16">
      <c r="A57" s="4" t="s">
        <v>110</v>
      </c>
      <c r="B57" s="4">
        <v>0.93700000000000006</v>
      </c>
      <c r="D57" s="56">
        <v>14</v>
      </c>
      <c r="E57" s="9">
        <f t="shared" si="24"/>
        <v>6.0752358569572422</v>
      </c>
      <c r="F57" s="36">
        <f t="shared" si="25"/>
        <v>85.053301997401391</v>
      </c>
      <c r="G57" s="36">
        <f t="shared" si="26"/>
        <v>73.83611800528702</v>
      </c>
      <c r="H57" s="36">
        <f t="shared" si="27"/>
        <v>86.81158317350561</v>
      </c>
      <c r="I57" s="37">
        <f t="shared" si="28"/>
        <v>4858.2820748712493</v>
      </c>
      <c r="J57" s="38">
        <f t="shared" si="29"/>
        <v>73.836118005286835</v>
      </c>
      <c r="K57" s="64">
        <f t="shared" si="35"/>
        <v>777.55171976227882</v>
      </c>
      <c r="L57" s="38">
        <f t="shared" si="30"/>
        <v>9.1419345457750154</v>
      </c>
      <c r="M57" s="38">
        <f t="shared" si="31"/>
        <v>77.402092994101253</v>
      </c>
      <c r="N57" s="38">
        <f t="shared" si="32"/>
        <v>81.552663369997433</v>
      </c>
      <c r="O57" s="38">
        <f t="shared" si="33"/>
        <v>12.839007708758485</v>
      </c>
      <c r="P57" s="34">
        <f t="shared" si="34"/>
        <v>9.7450694183448796</v>
      </c>
    </row>
    <row r="58" spans="1:16">
      <c r="A58" s="5"/>
      <c r="B58" s="5"/>
      <c r="D58" s="56">
        <v>12</v>
      </c>
      <c r="E58" s="9">
        <f t="shared" si="24"/>
        <v>4.6325234096374572</v>
      </c>
      <c r="F58" s="36">
        <f t="shared" si="25"/>
        <v>55.590280915649487</v>
      </c>
      <c r="G58" s="36">
        <f t="shared" si="26"/>
        <v>47.976177692059927</v>
      </c>
      <c r="H58" s="9">
        <f t="shared" si="27"/>
        <v>86.30317548647956</v>
      </c>
      <c r="I58" s="37">
        <f t="shared" si="28"/>
        <v>4207.9282208675531</v>
      </c>
      <c r="J58" s="38">
        <f t="shared" si="29"/>
        <v>47.976177692060261</v>
      </c>
      <c r="K58" s="64">
        <f t="shared" si="35"/>
        <v>583.31141991642301</v>
      </c>
      <c r="L58" s="2">
        <f t="shared" si="30"/>
        <v>10.493046811573356</v>
      </c>
      <c r="M58" s="38">
        <f t="shared" si="31"/>
        <v>50.293225965055257</v>
      </c>
      <c r="N58" s="38">
        <f t="shared" si="32"/>
        <v>52.990124275217468</v>
      </c>
      <c r="O58" s="38">
        <f t="shared" si="33"/>
        <v>16.837475626724206</v>
      </c>
      <c r="P58" s="34">
        <f t="shared" si="34"/>
        <v>9.9001465190456059</v>
      </c>
    </row>
    <row r="59" spans="1:16">
      <c r="A59" s="5"/>
      <c r="B59" s="5"/>
      <c r="D59" s="56">
        <v>11.5</v>
      </c>
      <c r="E59" s="9">
        <f t="shared" si="24"/>
        <v>4.2999578053493144</v>
      </c>
      <c r="F59" s="36">
        <f>D59*E59</f>
        <v>49.449514761517115</v>
      </c>
      <c r="G59" s="36">
        <f>(D59-($B$20+$B$21)*E59)*(E59-$B$14)</f>
        <v>42.559584804281172</v>
      </c>
      <c r="H59" s="9">
        <f>G59/F59*100</f>
        <v>86.066738995388761</v>
      </c>
      <c r="I59" s="37">
        <f>$B$19*(D59-(E59*($B$20+$B$21)))</f>
        <v>4043.203206793452</v>
      </c>
      <c r="J59" s="38">
        <f>(($B$53*0.0254)^4)*($B$54*0.0254)*(I59^3)*2*$B$57*0.00000018</f>
        <v>42.559584804280725</v>
      </c>
      <c r="K59" s="66">
        <f>$K$52*0.6*((0.6*3.1416*($B$53*0.0254)^2*J59^2)^(1/3))/9.81*1000</f>
        <v>538.53628623308225</v>
      </c>
      <c r="L59" s="2">
        <f>K59/F59</f>
        <v>10.890628327301304</v>
      </c>
      <c r="M59" s="38">
        <f>1.30652287/($B$53*0.0254)*POWER(K59*0.00981,3/2)</f>
        <v>44.615034346407597</v>
      </c>
      <c r="N59" s="38">
        <f>POWER(I59/$B$56,3)*100</f>
        <v>47.007448203897226</v>
      </c>
      <c r="O59" s="38">
        <f>0.65*60*O$10/E59</f>
        <v>18.139712883453175</v>
      </c>
      <c r="P59" s="34">
        <f>($B$20*$B$14+SQRT($B$20^2*$B$14^2+4*$B$20*($R$9-(D59*$B$14))))/(2*$B$20)</f>
        <v>9.9385319196934301</v>
      </c>
    </row>
    <row r="60" spans="1:16">
      <c r="A60" s="5"/>
      <c r="B60" s="5"/>
      <c r="D60" s="60">
        <v>9.6999999999999993</v>
      </c>
      <c r="E60" s="17">
        <f t="shared" si="24"/>
        <v>3.2001767794677081</v>
      </c>
      <c r="F60" s="61">
        <f>D60*E60</f>
        <v>31.041714760836765</v>
      </c>
      <c r="G60" s="61">
        <f>(D60-($B$20+$B$21)*E60)*(E60-$B$14)</f>
        <v>26.275499083635967</v>
      </c>
      <c r="H60" s="17">
        <f>G60/F60*100</f>
        <v>84.645771942940442</v>
      </c>
      <c r="I60" s="62">
        <f>$B$19*(D60-(E60*($B$20+$B$21)))</f>
        <v>3442.786564760454</v>
      </c>
      <c r="J60" s="38">
        <f>(($B$53*0.0254)^4)*($B$54*0.0254)*(I60^3)*2*$B$57*0.00000018</f>
        <v>26.275499083635886</v>
      </c>
      <c r="K60" s="36">
        <f>$K$52*0.6*((0.6*3.1416*($B$53*0.0254)^2*J60^2)^(1/3))/9.81*1000</f>
        <v>390.46672696028003</v>
      </c>
      <c r="L60" s="2">
        <f>K60/F60</f>
        <v>12.578774399824894</v>
      </c>
      <c r="M60" s="38">
        <f>1.30652287/($B$53*0.0254)*POWER(K60*0.00981,3/2)</f>
        <v>27.544495546100944</v>
      </c>
      <c r="N60" s="38">
        <f>POWER(I60/$B$56,3)*100</f>
        <v>29.021527533354369</v>
      </c>
      <c r="O60" s="38">
        <f>0.65*60*O$10/E60</f>
        <v>24.373653512033137</v>
      </c>
      <c r="P60" s="34">
        <f>($B$20*$B$14+SQRT($B$20^2*$B$14^2+4*$B$20*($R$9-(D60*$B$14))))/(2*$B$20)</f>
        <v>10.07549027216576</v>
      </c>
    </row>
    <row r="61" spans="1:16">
      <c r="A61" s="5"/>
      <c r="B61" s="5"/>
    </row>
    <row r="62" spans="1:16">
      <c r="A62" s="5"/>
      <c r="B62" s="5"/>
    </row>
    <row r="63" spans="1:16">
      <c r="A63" s="2"/>
      <c r="B63" s="2"/>
    </row>
    <row r="66" spans="1:16">
      <c r="H66" s="57" t="s">
        <v>168</v>
      </c>
      <c r="I66" s="58"/>
      <c r="J66" s="58"/>
      <c r="K66" s="58"/>
      <c r="L66" s="58"/>
      <c r="M66" s="59"/>
    </row>
    <row r="67" spans="1:16">
      <c r="O67" s="186" t="s">
        <v>407</v>
      </c>
      <c r="P67" s="186"/>
    </row>
    <row r="68" spans="1:16">
      <c r="D68" s="2"/>
      <c r="E68" s="2"/>
      <c r="F68" s="2"/>
      <c r="G68" s="2"/>
      <c r="H68" s="2"/>
      <c r="I68" s="2"/>
      <c r="J68" s="2"/>
      <c r="K68" s="4" t="s">
        <v>111</v>
      </c>
      <c r="L68" s="2"/>
      <c r="M68" s="2"/>
      <c r="N68" s="2"/>
      <c r="O68" s="89">
        <v>1.25</v>
      </c>
      <c r="P68" s="89" t="s">
        <v>394</v>
      </c>
    </row>
    <row r="69" spans="1:16">
      <c r="D69" s="2"/>
      <c r="E69" s="2"/>
      <c r="F69" s="2"/>
      <c r="G69" s="2"/>
      <c r="H69" s="2"/>
      <c r="I69" s="2"/>
      <c r="J69" s="2"/>
      <c r="K69" s="4">
        <v>1.29</v>
      </c>
      <c r="M69" s="2" t="s">
        <v>113</v>
      </c>
      <c r="N69" s="2" t="s">
        <v>113</v>
      </c>
      <c r="O69" s="89" t="s">
        <v>116</v>
      </c>
    </row>
    <row r="70" spans="1:16">
      <c r="A70" s="5" t="s">
        <v>249</v>
      </c>
      <c r="B70" s="5">
        <v>15</v>
      </c>
      <c r="D70" s="11" t="s">
        <v>425</v>
      </c>
      <c r="E70" s="12" t="s">
        <v>426</v>
      </c>
      <c r="F70" s="12" t="s">
        <v>427</v>
      </c>
      <c r="G70" s="12" t="s">
        <v>302</v>
      </c>
      <c r="H70" s="12" t="s">
        <v>48</v>
      </c>
      <c r="I70" s="13" t="s">
        <v>43</v>
      </c>
      <c r="J70" s="2" t="s">
        <v>303</v>
      </c>
      <c r="K70" s="2" t="s">
        <v>428</v>
      </c>
      <c r="L70" s="9" t="s">
        <v>112</v>
      </c>
      <c r="M70" s="9" t="s">
        <v>123</v>
      </c>
      <c r="N70" s="9" t="s">
        <v>252</v>
      </c>
      <c r="O70" s="89" t="s">
        <v>118</v>
      </c>
      <c r="P70" t="s">
        <v>383</v>
      </c>
    </row>
    <row r="71" spans="1:16">
      <c r="A71" s="5" t="s">
        <v>109</v>
      </c>
      <c r="B71" s="5">
        <v>5</v>
      </c>
      <c r="D71" s="35">
        <v>14</v>
      </c>
      <c r="E71" s="9">
        <f t="shared" ref="E71:E78" si="36">(0.5+(0.00000036*$B$74*$B$19^3*($B$71*0.0254)*($B$70*0.0254)^4)*($B$20+$B$21)*$D71-(0.25-(0.00000036*$B$74*$B$19^3*($B$71*0.0254)*($B$70*0.0254)^4)*(($B$20+$B$21)^2*$B$14-($B$20+$B$21)*$D71))^(1/2))/((0.00000036*$B$74*$B$19^3*($B$71*0.0254)*($B$70*0.0254)^4)*($B$20+$B$21)^2)</f>
        <v>10.033081165445285</v>
      </c>
      <c r="F71" s="36">
        <f t="shared" ref="F71:F77" si="37">D71*E71</f>
        <v>140.463136316234</v>
      </c>
      <c r="G71" s="36">
        <f t="shared" ref="G71:G77" si="38">(D71-($B$20+$B$21)*E71)*(E71-$B$14)</f>
        <v>116.73257765167811</v>
      </c>
      <c r="H71" s="9">
        <f t="shared" ref="H71:H77" si="39">G71/F71*100</f>
        <v>83.105489962056879</v>
      </c>
      <c r="I71" s="37">
        <f t="shared" ref="I71:I77" si="40">$B$19*(D71-(E71*($B$20+$B$21)))</f>
        <v>4557.4858314261583</v>
      </c>
      <c r="J71" s="38">
        <f t="shared" ref="J71:J77" si="41">(($B$70*0.0254)^4)*($B$71*0.0254)*(I71^3)*2*$B$74*0.00000018</f>
        <v>116.73257765167814</v>
      </c>
      <c r="K71" s="36">
        <f>$K$69*0.6*((0.6*3.1416*($B$70*0.0254)^2*J71^2)^(1/3))/9.81*1000</f>
        <v>1223.4438260713816</v>
      </c>
      <c r="L71" s="2">
        <f t="shared" ref="L71:L77" si="42">K71/F71</f>
        <v>8.7100705434695769</v>
      </c>
      <c r="M71" s="38">
        <f t="shared" ref="M71:M77" si="43">1.30652287/($B$70*0.0254)*POWER(K71*0.00981,3/2)</f>
        <v>142.58426529878284</v>
      </c>
      <c r="N71" s="38">
        <f t="shared" ref="N71:N77" si="44">POWER(I71/$B$73,3)*100</f>
        <v>97.252883423413152</v>
      </c>
      <c r="O71" s="38">
        <f t="shared" ref="O71:O77" si="45">0.65*60*O$10/E71</f>
        <v>7.7742817698553148</v>
      </c>
      <c r="P71" s="33">
        <f t="shared" ref="P71:P77" si="46">($B$20*$B$14+SQRT($B$20^2*$B$14^2+4*$B$20*($R$9-(D71*$B$14))))/(2*$B$20)</f>
        <v>9.7450694183448796</v>
      </c>
    </row>
    <row r="72" spans="1:16">
      <c r="A72" s="10"/>
      <c r="B72" s="5"/>
      <c r="D72" s="56">
        <v>13.9</v>
      </c>
      <c r="E72" s="9">
        <f t="shared" si="36"/>
        <v>9.9108409180943404</v>
      </c>
      <c r="F72" s="36">
        <f t="shared" si="37"/>
        <v>137.76068876151135</v>
      </c>
      <c r="G72" s="36">
        <f t="shared" si="38"/>
        <v>114.54038567584236</v>
      </c>
      <c r="H72" s="9">
        <f t="shared" si="39"/>
        <v>83.144463566186488</v>
      </c>
      <c r="I72" s="37">
        <f t="shared" si="40"/>
        <v>4528.7760902248301</v>
      </c>
      <c r="J72" s="38">
        <f t="shared" si="41"/>
        <v>114.54038567584216</v>
      </c>
      <c r="K72" s="63">
        <f t="shared" ref="K72:K77" si="47">$K$69*0.6*((0.6*3.1416*($B$70*0.0254)^2*J72^2)^(1/3))/9.81*1000</f>
        <v>1208.0782831999293</v>
      </c>
      <c r="L72" s="2">
        <f t="shared" si="42"/>
        <v>8.7693978163199464</v>
      </c>
      <c r="M72" s="38">
        <f t="shared" si="43"/>
        <v>139.906588779027</v>
      </c>
      <c r="N72" s="38">
        <f t="shared" si="44"/>
        <v>95.426512456913287</v>
      </c>
      <c r="O72" s="38">
        <f t="shared" si="45"/>
        <v>7.8701697105837374</v>
      </c>
      <c r="P72" s="34">
        <f t="shared" si="46"/>
        <v>9.7528827516979053</v>
      </c>
    </row>
    <row r="73" spans="1:16">
      <c r="A73" s="4" t="s">
        <v>14</v>
      </c>
      <c r="B73" s="4">
        <v>4600</v>
      </c>
      <c r="D73" s="56">
        <v>13</v>
      </c>
      <c r="E73" s="9">
        <f t="shared" si="36"/>
        <v>8.8373345035098207</v>
      </c>
      <c r="F73" s="36">
        <f t="shared" si="37"/>
        <v>114.88534854562766</v>
      </c>
      <c r="G73" s="36">
        <f t="shared" si="38"/>
        <v>95.895892390453213</v>
      </c>
      <c r="H73" s="36">
        <f t="shared" si="39"/>
        <v>83.470950477525307</v>
      </c>
      <c r="I73" s="37">
        <f t="shared" si="40"/>
        <v>4268.3625777332536</v>
      </c>
      <c r="J73" s="38">
        <f t="shared" si="41"/>
        <v>95.895892390453312</v>
      </c>
      <c r="K73" s="64">
        <f t="shared" si="47"/>
        <v>1073.1390206122287</v>
      </c>
      <c r="L73" s="38">
        <f t="shared" si="42"/>
        <v>9.3409563029355542</v>
      </c>
      <c r="M73" s="38">
        <f t="shared" si="43"/>
        <v>117.13307147610439</v>
      </c>
      <c r="N73" s="38">
        <f t="shared" si="44"/>
        <v>79.893310257069061</v>
      </c>
      <c r="O73" s="38">
        <f t="shared" si="45"/>
        <v>8.826190744394891</v>
      </c>
      <c r="P73" s="34">
        <f t="shared" si="46"/>
        <v>9.8229187499356758</v>
      </c>
    </row>
    <row r="74" spans="1:16">
      <c r="A74" s="4" t="s">
        <v>110</v>
      </c>
      <c r="B74" s="4">
        <v>1.28</v>
      </c>
      <c r="D74" s="56">
        <v>11.37</v>
      </c>
      <c r="E74" s="9">
        <f t="shared" si="36"/>
        <v>7.0204798741297854</v>
      </c>
      <c r="F74" s="36">
        <f t="shared" si="37"/>
        <v>79.822856168855651</v>
      </c>
      <c r="G74" s="36">
        <f t="shared" si="38"/>
        <v>66.975657428691179</v>
      </c>
      <c r="H74" s="9">
        <f t="shared" si="39"/>
        <v>83.905363254619985</v>
      </c>
      <c r="I74" s="37">
        <f t="shared" si="40"/>
        <v>3787.0435295661359</v>
      </c>
      <c r="J74" s="38">
        <f t="shared" si="41"/>
        <v>66.97565742869088</v>
      </c>
      <c r="K74" s="65">
        <f t="shared" si="47"/>
        <v>844.76122930439624</v>
      </c>
      <c r="L74" s="2">
        <f t="shared" si="42"/>
        <v>10.582949168310959</v>
      </c>
      <c r="M74" s="38">
        <f t="shared" si="43"/>
        <v>81.80813873457339</v>
      </c>
      <c r="N74" s="38">
        <f t="shared" si="44"/>
        <v>55.799125960834914</v>
      </c>
      <c r="O74" s="38">
        <f t="shared" si="45"/>
        <v>11.110351628159663</v>
      </c>
      <c r="P74" s="34">
        <f t="shared" si="46"/>
        <v>9.9484874926111502</v>
      </c>
    </row>
    <row r="75" spans="1:16">
      <c r="A75" s="5"/>
      <c r="B75" s="5"/>
      <c r="D75" s="56">
        <v>10</v>
      </c>
      <c r="E75" s="9">
        <f t="shared" si="36"/>
        <v>5.6287980506409045</v>
      </c>
      <c r="F75" s="36">
        <f t="shared" si="37"/>
        <v>56.287980506409042</v>
      </c>
      <c r="G75" s="36">
        <f t="shared" si="38"/>
        <v>47.289034890467732</v>
      </c>
      <c r="H75" s="9">
        <f t="shared" si="39"/>
        <v>84.012669250202222</v>
      </c>
      <c r="I75" s="37">
        <f t="shared" si="40"/>
        <v>3372.2113481512911</v>
      </c>
      <c r="J75" s="38">
        <f t="shared" si="41"/>
        <v>47.289034890467796</v>
      </c>
      <c r="K75" s="64">
        <f t="shared" si="47"/>
        <v>669.82746415220834</v>
      </c>
      <c r="L75" s="2">
        <f t="shared" si="42"/>
        <v>11.900008814065387</v>
      </c>
      <c r="M75" s="38">
        <f t="shared" si="43"/>
        <v>57.76170142207873</v>
      </c>
      <c r="N75" s="38">
        <f t="shared" si="44"/>
        <v>39.397699339180733</v>
      </c>
      <c r="O75" s="38">
        <f t="shared" si="45"/>
        <v>13.857310086141531</v>
      </c>
      <c r="P75" s="34">
        <f t="shared" si="46"/>
        <v>10.052795420630336</v>
      </c>
    </row>
    <row r="76" spans="1:16">
      <c r="A76" s="5"/>
      <c r="B76" s="5"/>
      <c r="D76" s="56">
        <v>9</v>
      </c>
      <c r="E76" s="9">
        <f t="shared" si="36"/>
        <v>4.6965442318306758</v>
      </c>
      <c r="F76" s="36">
        <f t="shared" si="37"/>
        <v>42.268898086476085</v>
      </c>
      <c r="G76" s="36">
        <f t="shared" si="38"/>
        <v>35.439185196077524</v>
      </c>
      <c r="H76" s="36">
        <f t="shared" si="39"/>
        <v>83.842226318684837</v>
      </c>
      <c r="I76" s="37">
        <f t="shared" si="40"/>
        <v>3063.0626383808685</v>
      </c>
      <c r="J76" s="38">
        <f t="shared" si="41"/>
        <v>35.43918519607741</v>
      </c>
      <c r="K76" s="64">
        <f t="shared" si="47"/>
        <v>552.64358788863376</v>
      </c>
      <c r="L76" s="38">
        <f t="shared" si="42"/>
        <v>13.074473499593116</v>
      </c>
      <c r="M76" s="38">
        <f t="shared" si="43"/>
        <v>43.287574776667789</v>
      </c>
      <c r="N76" s="38">
        <f t="shared" si="44"/>
        <v>29.525287763105585</v>
      </c>
      <c r="O76" s="38">
        <f t="shared" si="45"/>
        <v>16.607956009731055</v>
      </c>
      <c r="P76" s="34">
        <f t="shared" si="46"/>
        <v>10.128244191382427</v>
      </c>
    </row>
    <row r="77" spans="1:16">
      <c r="A77" s="5"/>
      <c r="B77" s="5"/>
      <c r="D77" s="56">
        <v>8.8699999999999992</v>
      </c>
      <c r="E77" s="9">
        <f t="shared" si="36"/>
        <v>4.5807646925010328</v>
      </c>
      <c r="F77" s="36">
        <f t="shared" si="37"/>
        <v>40.631382822484156</v>
      </c>
      <c r="G77" s="36">
        <f t="shared" si="38"/>
        <v>34.048547670421407</v>
      </c>
      <c r="H77" s="9">
        <f t="shared" si="39"/>
        <v>83.798643573558095</v>
      </c>
      <c r="I77" s="37">
        <f t="shared" si="40"/>
        <v>3022.461883369921</v>
      </c>
      <c r="J77" s="38">
        <f t="shared" si="41"/>
        <v>34.048547670421783</v>
      </c>
      <c r="K77" s="66">
        <f t="shared" si="47"/>
        <v>538.09015304406933</v>
      </c>
      <c r="L77" s="2">
        <f t="shared" si="42"/>
        <v>13.243215358801592</v>
      </c>
      <c r="M77" s="38">
        <f t="shared" si="43"/>
        <v>41.588965580491291</v>
      </c>
      <c r="N77" s="38">
        <f t="shared" si="44"/>
        <v>28.366712223290424</v>
      </c>
      <c r="O77" s="38">
        <f t="shared" si="45"/>
        <v>17.027724678303244</v>
      </c>
      <c r="P77" s="34">
        <f t="shared" si="46"/>
        <v>10.138010669941092</v>
      </c>
    </row>
    <row r="78" spans="1:16">
      <c r="A78" s="5"/>
      <c r="B78" s="5"/>
      <c r="D78" s="60">
        <v>8</v>
      </c>
      <c r="E78" s="17">
        <f t="shared" si="36"/>
        <v>3.8391852104596098</v>
      </c>
      <c r="F78" s="61">
        <f>D78*E78</f>
        <v>30.713481683676878</v>
      </c>
      <c r="G78" s="61">
        <f>(D78-($B$20+$B$21)*E78)*(E78-$B$14)</f>
        <v>25.595964180262097</v>
      </c>
      <c r="H78" s="17">
        <f>G78/F78*100</f>
        <v>83.337878928475376</v>
      </c>
      <c r="I78" s="62">
        <f>$B$19*(D78-(E78*($B$20+$B$21)))</f>
        <v>2748.2219240050695</v>
      </c>
      <c r="J78" s="38">
        <f>(($B$70*0.0254)^4)*($B$71*0.0254)*(I78^3)*2*$B$74*0.00000018</f>
        <v>25.59596418026203</v>
      </c>
      <c r="K78" s="36">
        <f>$K$69*0.6*((0.6*3.1416*($B$70*0.0254)^2*J78^2)^(1/3))/9.81*1000</f>
        <v>444.87395321765467</v>
      </c>
      <c r="L78" s="2">
        <f>K78/F78</f>
        <v>14.48464741964078</v>
      </c>
      <c r="M78" s="38">
        <f>1.30652287/($B$70*0.0254)*POWER(K78*0.00981,3/2)</f>
        <v>31.264466361281936</v>
      </c>
      <c r="N78" s="38">
        <f>POWER(I78/$B$73,3)*100</f>
        <v>21.324649644598132</v>
      </c>
      <c r="O78" s="38">
        <f>0.65*60*O$10/E78</f>
        <v>20.316810917976575</v>
      </c>
      <c r="P78" s="34">
        <f>($B$20*$B$14+SQRT($B$20^2*$B$14^2+4*$B$20*($R$9-(D78*$B$14))))/(2*$B$20)</f>
        <v>10.203126734646148</v>
      </c>
    </row>
    <row r="79" spans="1:16">
      <c r="A79" s="5"/>
      <c r="B79" s="5"/>
    </row>
    <row r="83" spans="1:16">
      <c r="H83" s="57" t="s">
        <v>344</v>
      </c>
      <c r="I83" s="90"/>
      <c r="J83" s="90"/>
      <c r="K83" s="90"/>
      <c r="L83" s="90"/>
      <c r="M83" s="91"/>
    </row>
    <row r="84" spans="1:16">
      <c r="O84" s="186" t="s">
        <v>407</v>
      </c>
      <c r="P84" s="186"/>
    </row>
    <row r="85" spans="1:16">
      <c r="D85" s="2"/>
      <c r="E85" s="2"/>
      <c r="F85" s="2"/>
      <c r="G85" s="2"/>
      <c r="H85" s="2"/>
      <c r="I85" s="2"/>
      <c r="J85" s="2"/>
      <c r="K85" s="4" t="s">
        <v>111</v>
      </c>
      <c r="L85" s="2"/>
      <c r="M85" s="2"/>
      <c r="N85" s="2"/>
      <c r="O85" s="89">
        <v>1.25</v>
      </c>
      <c r="P85" s="89" t="s">
        <v>394</v>
      </c>
    </row>
    <row r="86" spans="1:16">
      <c r="D86" s="2"/>
      <c r="E86" s="2"/>
      <c r="F86" s="2"/>
      <c r="G86" s="2"/>
      <c r="H86" s="2"/>
      <c r="I86" s="2"/>
      <c r="J86" s="2"/>
      <c r="K86" s="4">
        <v>1.29</v>
      </c>
      <c r="M86" s="2" t="s">
        <v>113</v>
      </c>
      <c r="N86" s="2" t="s">
        <v>113</v>
      </c>
      <c r="O86" s="89" t="s">
        <v>116</v>
      </c>
    </row>
    <row r="87" spans="1:16">
      <c r="A87" s="5" t="s">
        <v>249</v>
      </c>
      <c r="B87" s="5">
        <v>12</v>
      </c>
      <c r="D87" s="11" t="s">
        <v>425</v>
      </c>
      <c r="E87" s="12" t="s">
        <v>426</v>
      </c>
      <c r="F87" s="12" t="s">
        <v>427</v>
      </c>
      <c r="G87" s="12" t="s">
        <v>302</v>
      </c>
      <c r="H87" s="12" t="s">
        <v>48</v>
      </c>
      <c r="I87" s="13" t="s">
        <v>43</v>
      </c>
      <c r="J87" s="2" t="s">
        <v>303</v>
      </c>
      <c r="K87" s="2" t="s">
        <v>428</v>
      </c>
      <c r="L87" s="9" t="s">
        <v>112</v>
      </c>
      <c r="M87" s="9" t="s">
        <v>123</v>
      </c>
      <c r="N87" s="9" t="s">
        <v>252</v>
      </c>
      <c r="O87" s="89" t="s">
        <v>118</v>
      </c>
      <c r="P87" t="s">
        <v>383</v>
      </c>
    </row>
    <row r="88" spans="1:16">
      <c r="A88" s="5" t="s">
        <v>109</v>
      </c>
      <c r="B88" s="5">
        <v>4.5</v>
      </c>
      <c r="D88" s="35">
        <v>22.3</v>
      </c>
      <c r="E88" s="9">
        <f t="shared" ref="E88:E99" si="48">(0.5+(0.00000036*$B$91*$B$19^3*($B$88*0.0254)*($B$87*0.0254)^4)*($B$20+$B$21)*$D88-(0.25-(0.00000036*$B$91*$B$19^3*($B$88*0.0254)*($B$87*0.0254)^4)*(($B$20+$B$21)^2*$B$14-($B$20+$B$21)*$D88))^(1/2))/((0.00000036*$B$91*$B$19^3*($B$88*0.0254)*($B$87*0.0254)^4)*($B$20+$B$21)^2)</f>
        <v>9.2625583274164089</v>
      </c>
      <c r="F88" s="36">
        <f>D88*E88</f>
        <v>206.55505070138594</v>
      </c>
      <c r="G88" s="36">
        <f>(D88-($B$20+$B$21)*E88)*(E88-$B$14)</f>
        <v>183.26180684727268</v>
      </c>
      <c r="H88" s="9">
        <f>G88/F88*100</f>
        <v>88.722985095248035</v>
      </c>
      <c r="I88" s="37">
        <f>$B$19*(D88-(E88*($B$20+$B$21)))</f>
        <v>7770.0455671163536</v>
      </c>
      <c r="J88" s="38">
        <f>(($B$87*0.0254)^4)*($B$88*0.0254)*(I88^3)*2*$B$91*0.00000018</f>
        <v>183.26180684727112</v>
      </c>
      <c r="K88" s="36">
        <f>$K$86*0.6*((0.6*3.1416*($B$87*0.0254)^2*J88^2)^(1/3))/9.81*1000</f>
        <v>1424.1769440479686</v>
      </c>
      <c r="L88" s="2">
        <f>K88/F88</f>
        <v>6.894902541535445</v>
      </c>
      <c r="M88" s="38">
        <f>1.30652287/($B$87*0.0254)*POWER(K88*0.00981,3/2)</f>
        <v>223.84710945573761</v>
      </c>
      <c r="N88" s="38">
        <f>POWER(I88/$B$90,3)*100</f>
        <v>238.94276241163084</v>
      </c>
      <c r="O88" s="38">
        <f>0.65*60*O$10/E88</f>
        <v>8.4209996032226258</v>
      </c>
      <c r="P88" s="33">
        <f>($B$20*$B$14+SQRT($B$20^2*$B$14^2+4*$B$20*($R$9-(D88*$B$14))))/(2*$B$20)</f>
        <v>9.0727438124635817</v>
      </c>
    </row>
    <row r="89" spans="1:16">
      <c r="A89" s="10"/>
      <c r="B89" s="5"/>
      <c r="D89" s="56">
        <v>22.2</v>
      </c>
      <c r="E89" s="9">
        <f t="shared" si="48"/>
        <v>9.1881034933466683</v>
      </c>
      <c r="F89" s="36">
        <f>D89*E89</f>
        <v>203.97589755229603</v>
      </c>
      <c r="G89" s="36">
        <f>(D89-($B$20+$B$21)*E89)*(E89-$B$14)</f>
        <v>180.98293460100697</v>
      </c>
      <c r="H89" s="9">
        <f>G89/F89*100</f>
        <v>88.727607905049638</v>
      </c>
      <c r="I89" s="37">
        <f>$B$19*(D89-(E89*($B$20+$B$21)))</f>
        <v>7737.7041345056532</v>
      </c>
      <c r="J89" s="38">
        <f t="shared" ref="J89:J97" si="49">(($B$87*0.0254)^4)*($B$88*0.0254)*(I89^3)*2*$B$91*0.00000018</f>
        <v>180.98293460100706</v>
      </c>
      <c r="K89" s="63">
        <f t="shared" ref="K89:K97" si="50">$K$86*0.6*((0.6*3.1416*($B$87*0.0254)^2*J89^2)^(1/3))/9.81*1000</f>
        <v>1412.3458513865617</v>
      </c>
      <c r="L89" s="2">
        <f>K89/F89</f>
        <v>6.9240820525104425</v>
      </c>
      <c r="M89" s="38">
        <f t="shared" ref="M89:M97" si="51">1.30652287/($B$87*0.0254)*POWER(K89*0.00981,3/2)</f>
        <v>221.06355638529212</v>
      </c>
      <c r="N89" s="38">
        <f t="shared" ref="N89:N97" si="52">POWER(I89/$B$90,3)*100</f>
        <v>235.97149393472813</v>
      </c>
      <c r="O89" s="38">
        <f>0.65*60*O$10/E89</f>
        <v>8.4892382912841278</v>
      </c>
      <c r="P89" s="34">
        <f>($B$20*$B$14+SQRT($B$20^2*$B$14^2+4*$B$20*($R$9-(D89*$B$14))))/(2*$B$20)</f>
        <v>9.0811453432836462</v>
      </c>
    </row>
    <row r="90" spans="1:16">
      <c r="A90" s="4" t="s">
        <v>14</v>
      </c>
      <c r="B90" s="4">
        <v>5812</v>
      </c>
      <c r="D90" s="56">
        <v>21</v>
      </c>
      <c r="E90" s="9">
        <f t="shared" si="48"/>
        <v>8.3154230752772484</v>
      </c>
      <c r="F90" s="36">
        <f>D90*E90</f>
        <v>174.62388458082222</v>
      </c>
      <c r="G90" s="36">
        <f>(D90-($B$20+$B$21)*E90)*(E90-$B$14)</f>
        <v>154.99355778116816</v>
      </c>
      <c r="H90" s="36">
        <f>G90/F90*100</f>
        <v>88.758509841436705</v>
      </c>
      <c r="I90" s="37">
        <f>$B$19*(D90-(E90*($B$20+$B$21)))</f>
        <v>7348.0278462789292</v>
      </c>
      <c r="J90" s="38">
        <f t="shared" si="49"/>
        <v>154.99355778116603</v>
      </c>
      <c r="K90" s="64">
        <f t="shared" si="50"/>
        <v>1273.6743598845301</v>
      </c>
      <c r="L90" s="38">
        <f>K90/F90</f>
        <v>7.2938152930335693</v>
      </c>
      <c r="M90" s="38">
        <f t="shared" si="51"/>
        <v>189.31855191457998</v>
      </c>
      <c r="N90" s="38">
        <f t="shared" si="52"/>
        <v>202.08569089959286</v>
      </c>
      <c r="O90" s="38">
        <f>0.65*60*O$10/E90</f>
        <v>9.3801601306256277</v>
      </c>
      <c r="P90" s="34">
        <f>($B$20*$B$14+SQRT($B$20^2*$B$14^2+4*$B$20*($R$9-(D90*$B$14))))/(2*$B$20)</f>
        <v>9.1813541145753526</v>
      </c>
    </row>
    <row r="91" spans="1:16">
      <c r="A91" s="4" t="s">
        <v>110</v>
      </c>
      <c r="B91" s="4">
        <v>1.1000000000000001</v>
      </c>
      <c r="D91" s="56">
        <v>20</v>
      </c>
      <c r="E91" s="9">
        <f t="shared" si="48"/>
        <v>7.617918010377787</v>
      </c>
      <c r="F91" s="36">
        <f>D91*E91</f>
        <v>152.35836020755573</v>
      </c>
      <c r="G91" s="36">
        <f>(D91-($B$20+$B$21)*E91)*(E91-$B$14)</f>
        <v>135.20890032561076</v>
      </c>
      <c r="H91" s="9">
        <f>G91/F91*100</f>
        <v>88.743998124827215</v>
      </c>
      <c r="I91" s="37">
        <f>$B$19*(D91-(E91*($B$20+$B$21)))</f>
        <v>7021.0382312112879</v>
      </c>
      <c r="J91" s="38">
        <f t="shared" si="49"/>
        <v>135.20890032560911</v>
      </c>
      <c r="K91" s="64">
        <f t="shared" si="50"/>
        <v>1162.8387485002497</v>
      </c>
      <c r="L91" s="2">
        <f>K91/F91</f>
        <v>7.6322608547120767</v>
      </c>
      <c r="M91" s="38">
        <f t="shared" si="51"/>
        <v>165.15236879553439</v>
      </c>
      <c r="N91" s="38">
        <f t="shared" si="52"/>
        <v>176.28980474564696</v>
      </c>
      <c r="O91" s="38">
        <f>0.65*60*O$10/E91</f>
        <v>10.239018048467003</v>
      </c>
      <c r="P91" s="34">
        <f>($B$20*$B$14+SQRT($B$20^2*$B$14^2+4*$B$20*($R$9-(D91*$B$14))))/(2*$B$20)</f>
        <v>9.2640198125117745</v>
      </c>
    </row>
    <row r="92" spans="1:16">
      <c r="D92" s="56">
        <v>19</v>
      </c>
      <c r="E92" s="9">
        <f t="shared" si="48"/>
        <v>6.9479931804139428</v>
      </c>
      <c r="F92" s="36">
        <f t="shared" ref="F92:F97" si="53">D92*E92</f>
        <v>132.01187042786492</v>
      </c>
      <c r="G92" s="36">
        <f t="shared" ref="G92:G97" si="54">(D92-($B$20+$B$21)*E92)*(E92-$B$14)</f>
        <v>117.07382817167402</v>
      </c>
      <c r="H92" s="36">
        <f t="shared" ref="H92:H97" si="55">G92/F92*100</f>
        <v>88.684318911795529</v>
      </c>
      <c r="I92" s="37">
        <f t="shared" ref="I92:I97" si="56">$B$19*(D92-(E92*($B$20+$B$21)))</f>
        <v>6691.9525182885409</v>
      </c>
      <c r="J92" s="38">
        <f t="shared" si="49"/>
        <v>117.07382817167264</v>
      </c>
      <c r="K92" s="64">
        <f t="shared" si="50"/>
        <v>1056.3857177666928</v>
      </c>
      <c r="L92" s="38">
        <f t="shared" ref="L92:L97" si="57">K92/F92</f>
        <v>8.0022024863584686</v>
      </c>
      <c r="M92" s="38">
        <f t="shared" si="51"/>
        <v>143.00108942496138</v>
      </c>
      <c r="N92" s="38">
        <f t="shared" si="52"/>
        <v>152.64470208327322</v>
      </c>
      <c r="O92" s="38">
        <f t="shared" ref="O92:O97" si="58">0.65*60*O$10/E92</f>
        <v>11.226263177672401</v>
      </c>
      <c r="P92" s="34">
        <f t="shared" ref="P92:P97" si="59">($B$20*$B$14+SQRT($B$20^2*$B$14^2+4*$B$20*($R$9-(D92*$B$14))))/(2*$B$20)</f>
        <v>9.3459424282047987</v>
      </c>
    </row>
    <row r="93" spans="1:16">
      <c r="D93" s="56">
        <v>18</v>
      </c>
      <c r="E93" s="9">
        <f t="shared" si="48"/>
        <v>6.3061858767642391</v>
      </c>
      <c r="F93" s="36">
        <f t="shared" si="53"/>
        <v>113.5113457817563</v>
      </c>
      <c r="G93" s="36">
        <f t="shared" si="54"/>
        <v>100.53612087190201</v>
      </c>
      <c r="H93" s="9">
        <f t="shared" si="55"/>
        <v>88.569226432394487</v>
      </c>
      <c r="I93" s="37">
        <f t="shared" si="56"/>
        <v>6360.7298733659181</v>
      </c>
      <c r="J93" s="38">
        <f t="shared" si="49"/>
        <v>100.53612087190109</v>
      </c>
      <c r="K93" s="64">
        <f t="shared" si="50"/>
        <v>954.40064486809752</v>
      </c>
      <c r="L93" s="2">
        <f t="shared" si="57"/>
        <v>8.4079757692511663</v>
      </c>
      <c r="M93" s="38">
        <f t="shared" si="51"/>
        <v>122.80092857440259</v>
      </c>
      <c r="N93" s="38">
        <f t="shared" si="52"/>
        <v>131.0822961780668</v>
      </c>
      <c r="O93" s="38">
        <f t="shared" si="58"/>
        <v>12.368807631788759</v>
      </c>
      <c r="P93" s="34">
        <f t="shared" si="59"/>
        <v>9.4271416472347322</v>
      </c>
    </row>
    <row r="94" spans="1:16">
      <c r="D94" s="56">
        <v>16.8</v>
      </c>
      <c r="E94" s="9">
        <f t="shared" si="48"/>
        <v>5.5739149323598642</v>
      </c>
      <c r="F94" s="36">
        <f t="shared" si="53"/>
        <v>93.641770863645718</v>
      </c>
      <c r="G94" s="36">
        <f t="shared" si="54"/>
        <v>82.722500224950466</v>
      </c>
      <c r="H94" s="36">
        <f t="shared" si="55"/>
        <v>88.339316377735855</v>
      </c>
      <c r="I94" s="37">
        <f t="shared" si="56"/>
        <v>5960.3824651406503</v>
      </c>
      <c r="J94" s="38">
        <f t="shared" si="49"/>
        <v>82.722500224949101</v>
      </c>
      <c r="K94" s="65">
        <f t="shared" si="50"/>
        <v>838.04063272437475</v>
      </c>
      <c r="L94" s="38">
        <f t="shared" si="57"/>
        <v>8.949431701208086</v>
      </c>
      <c r="M94" s="38">
        <f t="shared" si="51"/>
        <v>101.04228961214237</v>
      </c>
      <c r="N94" s="38">
        <f t="shared" si="52"/>
        <v>107.85631254753952</v>
      </c>
      <c r="O94" s="38">
        <f t="shared" si="58"/>
        <v>13.993755008201504</v>
      </c>
      <c r="P94" s="34">
        <f t="shared" si="59"/>
        <v>9.5236522840810114</v>
      </c>
    </row>
    <row r="95" spans="1:16">
      <c r="D95" s="56">
        <v>16</v>
      </c>
      <c r="E95" s="9">
        <f t="shared" si="48"/>
        <v>5.1091622133598298</v>
      </c>
      <c r="F95" s="36">
        <f t="shared" si="53"/>
        <v>81.746595413757277</v>
      </c>
      <c r="G95" s="36">
        <f t="shared" si="54"/>
        <v>72.032437442074084</v>
      </c>
      <c r="H95" s="9">
        <f t="shared" si="55"/>
        <v>88.11674306126713</v>
      </c>
      <c r="I95" s="37">
        <f t="shared" si="56"/>
        <v>5691.7036717846531</v>
      </c>
      <c r="J95" s="38">
        <f t="shared" si="49"/>
        <v>72.032437442072691</v>
      </c>
      <c r="K95" s="64">
        <f t="shared" si="50"/>
        <v>764.19005536648478</v>
      </c>
      <c r="L95" s="2">
        <f t="shared" si="57"/>
        <v>9.3482799069314861</v>
      </c>
      <c r="M95" s="38">
        <f t="shared" si="51"/>
        <v>87.984797191795906</v>
      </c>
      <c r="N95" s="38">
        <f t="shared" si="52"/>
        <v>93.918257610522531</v>
      </c>
      <c r="O95" s="38">
        <f t="shared" si="58"/>
        <v>15.266690847286</v>
      </c>
      <c r="P95" s="34">
        <f t="shared" si="59"/>
        <v>9.5874444180009419</v>
      </c>
    </row>
    <row r="96" spans="1:16">
      <c r="D96" s="56">
        <v>15</v>
      </c>
      <c r="E96" s="9">
        <f t="shared" si="48"/>
        <v>4.5551121606304221</v>
      </c>
      <c r="F96" s="36">
        <f t="shared" si="53"/>
        <v>68.326682409456339</v>
      </c>
      <c r="G96" s="36">
        <f t="shared" si="54"/>
        <v>59.950179779909526</v>
      </c>
      <c r="H96" s="36">
        <f t="shared" si="55"/>
        <v>87.740510245544257</v>
      </c>
      <c r="I96" s="37">
        <f t="shared" si="56"/>
        <v>5353.8114757920875</v>
      </c>
      <c r="J96" s="38">
        <f t="shared" si="49"/>
        <v>59.950179779909519</v>
      </c>
      <c r="K96" s="64">
        <f t="shared" si="50"/>
        <v>676.14986838863103</v>
      </c>
      <c r="L96" s="38">
        <f t="shared" si="57"/>
        <v>9.8958392906700325</v>
      </c>
      <c r="M96" s="38">
        <f t="shared" si="51"/>
        <v>73.226793328892541</v>
      </c>
      <c r="N96" s="38">
        <f t="shared" si="52"/>
        <v>78.165013267731922</v>
      </c>
      <c r="O96" s="38">
        <f t="shared" si="58"/>
        <v>17.123617871399436</v>
      </c>
      <c r="P96" s="34">
        <f t="shared" si="59"/>
        <v>9.6665832704210164</v>
      </c>
    </row>
    <row r="97" spans="4:16">
      <c r="D97" s="56">
        <v>14</v>
      </c>
      <c r="E97" s="9">
        <f t="shared" si="48"/>
        <v>4.0315140523222901</v>
      </c>
      <c r="F97" s="36">
        <f t="shared" si="53"/>
        <v>56.441196732512061</v>
      </c>
      <c r="G97" s="36">
        <f t="shared" si="54"/>
        <v>49.232466464836982</v>
      </c>
      <c r="H97" s="9">
        <f t="shared" si="55"/>
        <v>87.227892594413035</v>
      </c>
      <c r="I97" s="37">
        <f t="shared" si="56"/>
        <v>5013.6049320235061</v>
      </c>
      <c r="J97" s="38">
        <f t="shared" si="49"/>
        <v>49.232466464837174</v>
      </c>
      <c r="K97" s="64">
        <f t="shared" si="50"/>
        <v>592.94858516590705</v>
      </c>
      <c r="L97" s="2">
        <f t="shared" si="57"/>
        <v>10.505599092379775</v>
      </c>
      <c r="M97" s="38">
        <f t="shared" si="51"/>
        <v>60.135526867934743</v>
      </c>
      <c r="N97" s="38">
        <f t="shared" si="52"/>
        <v>64.190906658745178</v>
      </c>
      <c r="O97" s="38">
        <f t="shared" si="58"/>
        <v>19.347569917329032</v>
      </c>
      <c r="P97" s="34">
        <f t="shared" si="59"/>
        <v>9.7450694183448796</v>
      </c>
    </row>
    <row r="98" spans="4:16">
      <c r="D98" s="56">
        <v>13.25</v>
      </c>
      <c r="E98" s="9">
        <f t="shared" si="48"/>
        <v>3.6591803826535556</v>
      </c>
      <c r="F98" s="36">
        <f>D98*E98</f>
        <v>48.484140070159611</v>
      </c>
      <c r="G98" s="36">
        <f>(D98-($B$20+$B$21)*E98)*(E98-$B$14)</f>
        <v>42.050770678559502</v>
      </c>
      <c r="H98" s="9">
        <f>G98/F98*100</f>
        <v>86.730981755496501</v>
      </c>
      <c r="I98" s="37">
        <f>$B$19*(D98-(E98*($B$20+$B$21)))</f>
        <v>4756.9022909183295</v>
      </c>
      <c r="J98" s="38">
        <f>(($B$87*0.0254)^4)*($B$88*0.0254)*(I98^3)*2*$B$91*0.00000018</f>
        <v>42.050770678559338</v>
      </c>
      <c r="K98" s="66">
        <f>$K$86*0.6*((0.6*3.1416*($B$87*0.0254)^2*J98^2)^(1/3))/9.81*1000</f>
        <v>533.78366724141927</v>
      </c>
      <c r="L98" s="2">
        <f>K98/F98</f>
        <v>11.009448996496598</v>
      </c>
      <c r="M98" s="38">
        <f>1.30652287/($B$87*0.0254)*POWER(K98*0.00981,3/2)</f>
        <v>51.363367134245635</v>
      </c>
      <c r="N98" s="38">
        <f>POWER(I98/$B$90,3)*100</f>
        <v>54.827175832914655</v>
      </c>
      <c r="O98" s="38">
        <f>0.65*60*O$10/E98</f>
        <v>21.316248952842315</v>
      </c>
      <c r="P98" s="34">
        <f>($B$20*$B$14+SQRT($B$20^2*$B$14^2+4*$B$20*($R$9-(D98*$B$14))))/(2*$B$20)</f>
        <v>9.8035152738708167</v>
      </c>
    </row>
    <row r="99" spans="4:16">
      <c r="D99" s="60">
        <v>11.5</v>
      </c>
      <c r="E99" s="17">
        <f t="shared" si="48"/>
        <v>2.8599647749605137</v>
      </c>
      <c r="F99" s="61">
        <f>D99*E99</f>
        <v>32.889594912045908</v>
      </c>
      <c r="G99" s="61">
        <f>(D99-($B$20+$B$21)*E99)*(E99-$B$14)</f>
        <v>27.975313095740553</v>
      </c>
      <c r="H99" s="61">
        <f>G99/F99*100</f>
        <v>85.058247663289137</v>
      </c>
      <c r="I99" s="62">
        <f>$B$19*(D99-(E99*($B$20+$B$21)))</f>
        <v>4152.642677103001</v>
      </c>
      <c r="J99" s="38">
        <f>(($B$87*0.0254)^4)*($B$88*0.0254)*(I99^3)*2*$B$91*0.00000018</f>
        <v>27.97531309574093</v>
      </c>
      <c r="K99" s="36">
        <f>$K$86*0.6*((0.6*3.1416*($B$87*0.0254)^2*J99^2)^(1/3))/9.81*1000</f>
        <v>406.78595071690432</v>
      </c>
      <c r="L99" s="38">
        <f>K99/F99</f>
        <v>12.368226237043674</v>
      </c>
      <c r="M99" s="38">
        <f>1.30652287/($B$87*0.0254)*POWER(K99*0.00981,3/2)</f>
        <v>34.170747742434465</v>
      </c>
      <c r="N99" s="38">
        <f>POWER(I99/$B$90,3)*100</f>
        <v>36.475131973338101</v>
      </c>
      <c r="O99" s="38">
        <f>0.65*60*O$10/E99</f>
        <v>27.273063179974624</v>
      </c>
      <c r="P99" s="34">
        <f>($B$20*$B$14+SQRT($B$20^2*$B$14^2+4*$B$20*($R$9-(D99*$B$14))))/(2*$B$20)</f>
        <v>9.9385319196934301</v>
      </c>
    </row>
  </sheetData>
  <mergeCells count="5">
    <mergeCell ref="O9:P9"/>
    <mergeCell ref="O31:P31"/>
    <mergeCell ref="O50:P50"/>
    <mergeCell ref="O67:P67"/>
    <mergeCell ref="O84:P84"/>
  </mergeCells>
  <phoneticPr fontId="1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7:T99"/>
  <sheetViews>
    <sheetView workbookViewId="0">
      <selection activeCell="L15" sqref="L15"/>
    </sheetView>
  </sheetViews>
  <sheetFormatPr baseColWidth="10" defaultRowHeight="15"/>
  <sheetData>
    <row r="7" spans="1:18" ht="16">
      <c r="F7" t="s">
        <v>289</v>
      </c>
      <c r="H7" s="82" t="s">
        <v>230</v>
      </c>
      <c r="I7" s="83"/>
      <c r="J7" s="83"/>
      <c r="K7" s="83"/>
      <c r="L7" s="83"/>
      <c r="M7" s="83"/>
      <c r="N7" s="84"/>
    </row>
    <row r="8" spans="1:18" ht="17">
      <c r="F8" t="s">
        <v>161</v>
      </c>
      <c r="H8" s="85" t="s">
        <v>282</v>
      </c>
      <c r="I8" s="86"/>
      <c r="J8" s="86"/>
      <c r="K8" s="86"/>
      <c r="L8" s="86"/>
      <c r="M8" s="86"/>
      <c r="N8" s="87"/>
      <c r="R8" s="7" t="s">
        <v>16</v>
      </c>
    </row>
    <row r="9" spans="1:18">
      <c r="O9" s="186" t="s">
        <v>136</v>
      </c>
      <c r="P9" s="186"/>
      <c r="R9" s="7">
        <f>($B$20*$B$17^2+$B$14*(($B$18/$B$17)-$B$17*$B$20))/2</f>
        <v>28.84</v>
      </c>
    </row>
    <row r="10" spans="1:18" ht="16">
      <c r="D10" s="2"/>
      <c r="E10" s="2"/>
      <c r="F10" s="2"/>
      <c r="G10" s="2"/>
      <c r="H10" s="2"/>
      <c r="I10" s="2"/>
      <c r="J10" s="2"/>
      <c r="K10" s="4" t="s">
        <v>111</v>
      </c>
      <c r="L10" s="2"/>
      <c r="M10" s="2"/>
      <c r="N10" s="2"/>
      <c r="O10" s="68">
        <v>2</v>
      </c>
      <c r="P10" s="68" t="s">
        <v>394</v>
      </c>
      <c r="R10" t="s">
        <v>13</v>
      </c>
    </row>
    <row r="11" spans="1:18" ht="16">
      <c r="D11" s="2"/>
      <c r="E11" s="2"/>
      <c r="F11" s="2"/>
      <c r="G11" s="2"/>
      <c r="H11" s="2"/>
      <c r="I11" s="2"/>
      <c r="J11" s="2"/>
      <c r="K11" s="4">
        <v>1.34</v>
      </c>
      <c r="M11" s="2" t="s">
        <v>113</v>
      </c>
      <c r="N11" s="2" t="s">
        <v>251</v>
      </c>
      <c r="O11" s="68" t="s">
        <v>116</v>
      </c>
      <c r="R11" s="31" t="s">
        <v>22</v>
      </c>
    </row>
    <row r="12" spans="1:18">
      <c r="A12" s="5" t="s">
        <v>249</v>
      </c>
      <c r="B12" s="5">
        <v>13</v>
      </c>
      <c r="D12" s="11" t="s">
        <v>425</v>
      </c>
      <c r="E12" s="12" t="s">
        <v>426</v>
      </c>
      <c r="F12" s="12" t="s">
        <v>427</v>
      </c>
      <c r="G12" s="12" t="s">
        <v>302</v>
      </c>
      <c r="H12" s="12" t="s">
        <v>48</v>
      </c>
      <c r="I12" s="13" t="s">
        <v>43</v>
      </c>
      <c r="J12" s="2" t="s">
        <v>303</v>
      </c>
      <c r="K12" s="2" t="s">
        <v>428</v>
      </c>
      <c r="L12" s="9" t="s">
        <v>112</v>
      </c>
      <c r="M12" s="9" t="s">
        <v>114</v>
      </c>
      <c r="N12" s="9" t="s">
        <v>252</v>
      </c>
      <c r="O12" s="68" t="s">
        <v>118</v>
      </c>
      <c r="P12" t="s">
        <v>383</v>
      </c>
    </row>
    <row r="13" spans="1:18">
      <c r="A13" s="5" t="s">
        <v>109</v>
      </c>
      <c r="B13" s="5">
        <v>4</v>
      </c>
      <c r="D13" s="35">
        <v>21.5</v>
      </c>
      <c r="E13" s="9">
        <f>(0.5+(0.00000036*$B$16*$B$19^3*($B$13*0.0254)*($B$12*0.0254)^4)*($B$20+$B$21)*$D13-(0.25-(0.00000036*$B$16*$B$19^3*($B$13*0.0254)*($B$12*0.0254)^4)*(($B$20+$B$21)^2*$B$14-($B$20+$B$21)*$D13))^(1/2))/((0.00000036*$B$16*$B$19^3*($B$13*0.0254)*($B$12*0.0254)^4)*($B$20+$B$21)^2)</f>
        <v>10.206570526886221</v>
      </c>
      <c r="F13" s="36">
        <f t="shared" ref="F13" si="0">D13*E13</f>
        <v>219.44126632805376</v>
      </c>
      <c r="G13" s="36">
        <f t="shared" ref="G13" si="1">(D13-($B$20+$B$21)*E13)*(E13-$B$14)</f>
        <v>190.6294020524717</v>
      </c>
      <c r="H13" s="9">
        <f t="shared" ref="H13" si="2">G13/F13*100</f>
        <v>86.870352710911831</v>
      </c>
      <c r="I13" s="37">
        <f t="shared" ref="I13" si="3">$B$19*(D13-(E13*($B$20+$B$21)))</f>
        <v>7429.66499868345</v>
      </c>
      <c r="J13" s="38">
        <f t="shared" ref="J13:J25" si="4">(($B$12*0.0254)^4)*($B$13*0.0254)*(I13^3)*2*$B$16*0.00000018</f>
        <v>190.62940205247273</v>
      </c>
      <c r="K13" s="36">
        <f t="shared" ref="K13:K25" si="5">$K$11*0.6*((0.6*3.1416*($B$12*0.0254)^2*J13^2)^(1/3))/9.81*1000</f>
        <v>1602.0118490244349</v>
      </c>
      <c r="L13" s="2">
        <f t="shared" ref="L13" si="6">K13/F13</f>
        <v>7.3004128887476751</v>
      </c>
      <c r="M13" s="38">
        <f t="shared" ref="M13" si="7">1.30652287/($B$12*0.0254)*POWER(K13*0.00981,3/2)</f>
        <v>246.51425859078111</v>
      </c>
      <c r="N13" s="38">
        <f t="shared" ref="N13" si="8">POWER(I13/$B$15,3)*100</f>
        <v>221.45379596363645</v>
      </c>
      <c r="O13" s="38">
        <f t="shared" ref="O13:O25" si="9">0.65*60*O$10/E13</f>
        <v>7.6421359941159315</v>
      </c>
      <c r="P13" s="33">
        <f t="shared" ref="P13:P25" si="10">($B$20*$B$14+SQRT($B$20^2*$B$14^2+4*$B$20*($R$9-(D13*$B$14))))/(2*$B$20)</f>
        <v>10.212368664165682</v>
      </c>
    </row>
    <row r="14" spans="1:18">
      <c r="A14" s="10" t="s">
        <v>63</v>
      </c>
      <c r="B14" s="5">
        <v>0.2</v>
      </c>
      <c r="D14" s="56">
        <v>21.4</v>
      </c>
      <c r="E14" s="9">
        <f t="shared" ref="E14:E25" si="11">(0.5+(0.00000036*$B$16*$B$19^3*($B$13*0.0254)*($B$12*0.0254)^4)*($B$20+$B$21)*$D14-(0.25-(0.00000036*$B$16*$B$19^3*($B$13*0.0254)*($B$12*0.0254)^4)*(($B$20+$B$21)^2*$B$14-($B$20+$B$21)*$D14))^(1/2))/((0.00000036*$B$16*$B$19^3*($B$13*0.0254)*($B$12*0.0254)^4)*($B$20+$B$21)^2)</f>
        <v>10.12281113990414</v>
      </c>
      <c r="F14" s="36">
        <f t="shared" ref="F14:F25" si="12">D14*E14</f>
        <v>216.62815839394858</v>
      </c>
      <c r="G14" s="36">
        <f t="shared" ref="G14:G25" si="13">(D14-($B$20+$B$21)*E14)*(E14-$B$14)</f>
        <v>188.24094003886384</v>
      </c>
      <c r="H14" s="36">
        <f t="shared" ref="H14:H25" si="14">G14/F14*100</f>
        <v>86.895877911004888</v>
      </c>
      <c r="I14" s="37">
        <f t="shared" ref="I14:I25" si="15">$B$19*(D14-(E14*($B$20+$B$21)))</f>
        <v>7398.5048773049721</v>
      </c>
      <c r="J14" s="38">
        <f t="shared" si="4"/>
        <v>188.24094003886381</v>
      </c>
      <c r="K14" s="63">
        <f t="shared" si="5"/>
        <v>1588.6023067589927</v>
      </c>
      <c r="L14" s="38">
        <f>K14/F14</f>
        <v>7.333314000066621</v>
      </c>
      <c r="M14" s="38">
        <f t="shared" ref="M14:M25" si="16">1.30652287/($B$12*0.0254)*POWER(K14*0.00981,3/2)</f>
        <v>243.42559579208555</v>
      </c>
      <c r="N14" s="38">
        <f t="shared" ref="N14:N25" si="17">POWER(I14/$B$15,3)*100</f>
        <v>218.67912440859979</v>
      </c>
      <c r="O14" s="38">
        <f t="shared" si="9"/>
        <v>7.7053694790890503</v>
      </c>
      <c r="P14" s="34">
        <f t="shared" si="10"/>
        <v>10.216488191726086</v>
      </c>
    </row>
    <row r="15" spans="1:18">
      <c r="A15" s="4" t="s">
        <v>14</v>
      </c>
      <c r="B15" s="4">
        <v>5700</v>
      </c>
      <c r="D15" s="56">
        <v>21.17</v>
      </c>
      <c r="E15" s="9">
        <f t="shared" si="11"/>
        <v>9.9312344680324376</v>
      </c>
      <c r="F15" s="36">
        <f t="shared" si="12"/>
        <v>210.24423368824671</v>
      </c>
      <c r="G15" s="36">
        <f t="shared" si="13"/>
        <v>182.81587260854374</v>
      </c>
      <c r="H15" s="9">
        <f t="shared" si="14"/>
        <v>86.954048347231179</v>
      </c>
      <c r="I15" s="37">
        <f t="shared" si="15"/>
        <v>7326.736453792164</v>
      </c>
      <c r="J15" s="38">
        <f t="shared" si="4"/>
        <v>182.81587260854354</v>
      </c>
      <c r="K15" s="64">
        <f t="shared" si="5"/>
        <v>1557.9316491635138</v>
      </c>
      <c r="L15" s="2">
        <f t="shared" ref="L15:L25" si="18">K15/F15</f>
        <v>7.4101040577105106</v>
      </c>
      <c r="M15" s="38">
        <f t="shared" si="16"/>
        <v>236.41011727202883</v>
      </c>
      <c r="N15" s="38">
        <f t="shared" si="17"/>
        <v>212.37683440051174</v>
      </c>
      <c r="O15" s="38">
        <f t="shared" si="9"/>
        <v>7.854008507308281</v>
      </c>
      <c r="P15" s="34">
        <f t="shared" si="10"/>
        <v>10.225956744920452</v>
      </c>
    </row>
    <row r="16" spans="1:18">
      <c r="A16" s="4" t="s">
        <v>110</v>
      </c>
      <c r="B16" s="4">
        <v>1.069</v>
      </c>
      <c r="D16" s="56">
        <v>20</v>
      </c>
      <c r="E16" s="9">
        <f t="shared" si="11"/>
        <v>8.9800795560884055</v>
      </c>
      <c r="F16" s="36">
        <f t="shared" si="12"/>
        <v>179.60159112176811</v>
      </c>
      <c r="G16" s="36">
        <f t="shared" si="13"/>
        <v>156.67859602037791</v>
      </c>
      <c r="H16" s="36">
        <f t="shared" si="14"/>
        <v>87.236752771389064</v>
      </c>
      <c r="I16" s="37">
        <f t="shared" si="15"/>
        <v>6959.4645535501259</v>
      </c>
      <c r="J16" s="38">
        <f t="shared" si="4"/>
        <v>156.67859602037714</v>
      </c>
      <c r="K16" s="64">
        <f t="shared" si="5"/>
        <v>1405.6555586589745</v>
      </c>
      <c r="L16" s="38">
        <f t="shared" si="18"/>
        <v>7.8265206331382329</v>
      </c>
      <c r="M16" s="38">
        <f t="shared" si="16"/>
        <v>202.61044476431945</v>
      </c>
      <c r="N16" s="38">
        <f t="shared" si="17"/>
        <v>182.01321234493977</v>
      </c>
      <c r="O16" s="38">
        <f t="shared" si="9"/>
        <v>8.6858918690889286</v>
      </c>
      <c r="P16" s="34">
        <f t="shared" si="10"/>
        <v>10.273986436004325</v>
      </c>
    </row>
    <row r="17" spans="1:20">
      <c r="A17" s="5" t="s">
        <v>383</v>
      </c>
      <c r="B17" s="5">
        <v>15</v>
      </c>
      <c r="D17" s="56">
        <v>19</v>
      </c>
      <c r="E17" s="9">
        <f t="shared" si="11"/>
        <v>8.1987572669300466</v>
      </c>
      <c r="F17" s="36">
        <f t="shared" si="12"/>
        <v>155.77638807167088</v>
      </c>
      <c r="G17" s="36">
        <f t="shared" si="13"/>
        <v>136.23721944719432</v>
      </c>
      <c r="H17" s="9">
        <f t="shared" si="14"/>
        <v>87.456912522912774</v>
      </c>
      <c r="I17" s="37">
        <f t="shared" si="15"/>
        <v>6642.5963198153468</v>
      </c>
      <c r="J17" s="38">
        <f t="shared" si="4"/>
        <v>136.23721944719296</v>
      </c>
      <c r="K17" s="64">
        <f t="shared" si="5"/>
        <v>1280.5689906109571</v>
      </c>
      <c r="L17" s="2">
        <f t="shared" si="18"/>
        <v>8.2205590106620168</v>
      </c>
      <c r="M17" s="38">
        <f t="shared" si="16"/>
        <v>176.1764805580718</v>
      </c>
      <c r="N17" s="38">
        <f t="shared" si="17"/>
        <v>158.26650597061186</v>
      </c>
      <c r="O17" s="38">
        <f t="shared" si="9"/>
        <v>9.513636940395287</v>
      </c>
      <c r="P17" s="34">
        <f t="shared" si="10"/>
        <v>10.314858458800755</v>
      </c>
    </row>
    <row r="18" spans="1:20" ht="17">
      <c r="A18" s="5" t="s">
        <v>17</v>
      </c>
      <c r="B18" s="5">
        <v>330</v>
      </c>
      <c r="D18" s="56">
        <v>18</v>
      </c>
      <c r="E18" s="9">
        <f t="shared" si="11"/>
        <v>7.4474055034324982</v>
      </c>
      <c r="F18" s="36">
        <f t="shared" si="12"/>
        <v>134.05329906178497</v>
      </c>
      <c r="G18" s="36">
        <f t="shared" si="13"/>
        <v>117.49945083013611</v>
      </c>
      <c r="H18" s="36">
        <f t="shared" si="14"/>
        <v>87.651293666395176</v>
      </c>
      <c r="I18" s="37">
        <f t="shared" si="15"/>
        <v>6322.922844878718</v>
      </c>
      <c r="J18" s="38">
        <f t="shared" si="4"/>
        <v>117.4994508301354</v>
      </c>
      <c r="K18" s="64">
        <f t="shared" si="5"/>
        <v>1160.2805836413249</v>
      </c>
      <c r="L18" s="38">
        <f t="shared" si="18"/>
        <v>8.6553676169249165</v>
      </c>
      <c r="M18" s="38">
        <f t="shared" si="16"/>
        <v>151.94555348939178</v>
      </c>
      <c r="N18" s="38">
        <f t="shared" si="17"/>
        <v>136.49887755936871</v>
      </c>
      <c r="O18" s="38">
        <f t="shared" si="9"/>
        <v>10.473446083209772</v>
      </c>
      <c r="P18" s="34">
        <f t="shared" si="10"/>
        <v>10.355567593588695</v>
      </c>
    </row>
    <row r="19" spans="1:20">
      <c r="A19" s="5" t="s">
        <v>157</v>
      </c>
      <c r="B19" s="5">
        <v>390</v>
      </c>
      <c r="D19" s="56">
        <v>17</v>
      </c>
      <c r="E19" s="9">
        <f t="shared" si="11"/>
        <v>6.7268346354686548</v>
      </c>
      <c r="F19" s="36">
        <f t="shared" si="12"/>
        <v>114.35618880296713</v>
      </c>
      <c r="G19" s="36">
        <f t="shared" si="13"/>
        <v>100.41900385436387</v>
      </c>
      <c r="H19" s="9">
        <f t="shared" si="14"/>
        <v>87.812478629716594</v>
      </c>
      <c r="I19" s="37">
        <f t="shared" si="15"/>
        <v>6000.3682781201342</v>
      </c>
      <c r="J19" s="38">
        <f t="shared" si="4"/>
        <v>100.41900385436453</v>
      </c>
      <c r="K19" s="64">
        <f t="shared" si="5"/>
        <v>1044.9200747198979</v>
      </c>
      <c r="L19" s="2">
        <f t="shared" si="18"/>
        <v>9.1374160476812438</v>
      </c>
      <c r="M19" s="38">
        <f t="shared" si="16"/>
        <v>129.85780796169874</v>
      </c>
      <c r="N19" s="38">
        <f t="shared" si="17"/>
        <v>116.65655639162512</v>
      </c>
      <c r="O19" s="38">
        <f t="shared" si="9"/>
        <v>11.595349704113216</v>
      </c>
      <c r="P19" s="34">
        <f t="shared" si="10"/>
        <v>10.396115772464876</v>
      </c>
      <c r="S19" s="2"/>
      <c r="T19" s="2"/>
    </row>
    <row r="20" spans="1:20">
      <c r="A20" s="5" t="s">
        <v>158</v>
      </c>
      <c r="B20" s="5">
        <v>0.24</v>
      </c>
      <c r="D20" s="56">
        <v>16.5</v>
      </c>
      <c r="E20" s="9">
        <f t="shared" si="11"/>
        <v>6.3783553821540702</v>
      </c>
      <c r="F20" s="36">
        <f t="shared" si="12"/>
        <v>105.24286380554216</v>
      </c>
      <c r="G20" s="36">
        <f t="shared" si="13"/>
        <v>92.485004692432639</v>
      </c>
      <c r="H20" s="36">
        <f t="shared" si="14"/>
        <v>87.877696737061157</v>
      </c>
      <c r="I20" s="37">
        <f t="shared" si="15"/>
        <v>5837.9859362303787</v>
      </c>
      <c r="J20" s="38">
        <f t="shared" si="4"/>
        <v>92.485004692432668</v>
      </c>
      <c r="K20" s="64">
        <f t="shared" si="5"/>
        <v>989.12994248136238</v>
      </c>
      <c r="L20" s="38">
        <f t="shared" si="18"/>
        <v>9.3985464354997355</v>
      </c>
      <c r="M20" s="38">
        <f t="shared" si="16"/>
        <v>119.59788005967899</v>
      </c>
      <c r="N20" s="38">
        <f t="shared" si="17"/>
        <v>107.43964539749382</v>
      </c>
      <c r="O20" s="38">
        <f t="shared" si="9"/>
        <v>12.228857648514747</v>
      </c>
      <c r="P20" s="34">
        <f t="shared" si="10"/>
        <v>10.416330096825453</v>
      </c>
    </row>
    <row r="21" spans="1:20">
      <c r="A21" s="5" t="s">
        <v>250</v>
      </c>
      <c r="B21" s="5">
        <v>0</v>
      </c>
      <c r="D21" s="56">
        <v>16.190000000000001</v>
      </c>
      <c r="E21" s="9">
        <f t="shared" si="11"/>
        <v>6.1663168507053516</v>
      </c>
      <c r="F21" s="36">
        <f t="shared" si="12"/>
        <v>99.832669812919647</v>
      </c>
      <c r="G21" s="36">
        <f t="shared" si="13"/>
        <v>87.765021780963238</v>
      </c>
      <c r="H21" s="9">
        <f t="shared" si="14"/>
        <v>87.912125304701902</v>
      </c>
      <c r="I21" s="37">
        <f t="shared" si="15"/>
        <v>5736.93274277398</v>
      </c>
      <c r="J21" s="38">
        <f t="shared" si="4"/>
        <v>87.765021780963551</v>
      </c>
      <c r="K21" s="65">
        <f t="shared" si="5"/>
        <v>955.18342315010261</v>
      </c>
      <c r="L21" s="2">
        <f t="shared" si="18"/>
        <v>9.5678441229715503</v>
      </c>
      <c r="M21" s="38">
        <f t="shared" si="16"/>
        <v>113.49418841791592</v>
      </c>
      <c r="N21" s="38">
        <f t="shared" si="17"/>
        <v>101.95645066795981</v>
      </c>
      <c r="O21" s="38">
        <f t="shared" si="9"/>
        <v>12.649366208140561</v>
      </c>
      <c r="P21" s="34">
        <f t="shared" si="10"/>
        <v>10.428843110435942</v>
      </c>
    </row>
    <row r="22" spans="1:20">
      <c r="D22" s="56">
        <v>14</v>
      </c>
      <c r="E22" s="9">
        <f t="shared" si="11"/>
        <v>4.7584837853642714</v>
      </c>
      <c r="F22" s="36">
        <f t="shared" si="12"/>
        <v>66.618772995099803</v>
      </c>
      <c r="G22" s="36">
        <f t="shared" si="13"/>
        <v>58.612819912259361</v>
      </c>
      <c r="H22" s="9">
        <f t="shared" si="14"/>
        <v>87.982436897435306</v>
      </c>
      <c r="I22" s="37">
        <f t="shared" si="15"/>
        <v>5014.6059176899043</v>
      </c>
      <c r="J22" s="38">
        <f t="shared" si="4"/>
        <v>58.612819912259056</v>
      </c>
      <c r="K22" s="64">
        <f t="shared" si="5"/>
        <v>729.79499001359341</v>
      </c>
      <c r="L22" s="2">
        <f t="shared" si="18"/>
        <v>10.954794830389236</v>
      </c>
      <c r="M22" s="38">
        <f t="shared" si="16"/>
        <v>75.795736067032919</v>
      </c>
      <c r="N22" s="38">
        <f t="shared" si="17"/>
        <v>68.090395930266311</v>
      </c>
      <c r="O22" s="38">
        <f t="shared" si="9"/>
        <v>16.391775934995426</v>
      </c>
      <c r="P22" s="34">
        <f t="shared" si="10"/>
        <v>10.516813332300813</v>
      </c>
    </row>
    <row r="23" spans="1:20">
      <c r="D23" s="56">
        <v>13.5</v>
      </c>
      <c r="E23" s="9">
        <f t="shared" si="11"/>
        <v>4.4598375768411413</v>
      </c>
      <c r="F23" s="36">
        <f t="shared" si="12"/>
        <v>60.207807287355408</v>
      </c>
      <c r="G23" s="36">
        <f t="shared" si="13"/>
        <v>52.948243200210754</v>
      </c>
      <c r="H23" s="36">
        <f t="shared" si="14"/>
        <v>87.942487171976325</v>
      </c>
      <c r="I23" s="37">
        <f t="shared" si="15"/>
        <v>4847.559202807669</v>
      </c>
      <c r="J23" s="38">
        <f t="shared" si="4"/>
        <v>52.948243200210683</v>
      </c>
      <c r="K23" s="64">
        <f t="shared" si="5"/>
        <v>681.98292858507875</v>
      </c>
      <c r="L23" s="38">
        <f t="shared" si="18"/>
        <v>11.327151067471377</v>
      </c>
      <c r="M23" s="38">
        <f t="shared" si="16"/>
        <v>68.470533798303961</v>
      </c>
      <c r="N23" s="38">
        <f t="shared" si="17"/>
        <v>61.509868467535078</v>
      </c>
      <c r="O23" s="38">
        <f t="shared" si="9"/>
        <v>17.489426163193734</v>
      </c>
      <c r="P23" s="34">
        <f t="shared" si="10"/>
        <v>10.536793888290919</v>
      </c>
    </row>
    <row r="24" spans="1:20">
      <c r="D24" s="56">
        <v>13.22</v>
      </c>
      <c r="E24" s="9">
        <f t="shared" si="11"/>
        <v>4.2964009414459126</v>
      </c>
      <c r="F24" s="36">
        <f t="shared" si="12"/>
        <v>56.798420445914964</v>
      </c>
      <c r="G24" s="36">
        <f t="shared" si="13"/>
        <v>49.930473039186609</v>
      </c>
      <c r="H24" s="9">
        <f t="shared" si="14"/>
        <v>87.908207036728768</v>
      </c>
      <c r="I24" s="37">
        <f t="shared" si="15"/>
        <v>4753.6568718806629</v>
      </c>
      <c r="J24" s="38">
        <f t="shared" si="4"/>
        <v>49.93047303918685</v>
      </c>
      <c r="K24" s="66">
        <f t="shared" si="5"/>
        <v>655.81737808360469</v>
      </c>
      <c r="L24" s="2">
        <f t="shared" si="18"/>
        <v>11.546401694534662</v>
      </c>
      <c r="M24" s="38">
        <f t="shared" si="16"/>
        <v>64.568075070361203</v>
      </c>
      <c r="N24" s="38">
        <f t="shared" si="17"/>
        <v>58.004130893430087</v>
      </c>
      <c r="O24" s="38">
        <f t="shared" si="9"/>
        <v>18.154730217927437</v>
      </c>
      <c r="P24" s="34">
        <f t="shared" si="10"/>
        <v>10.547966309287181</v>
      </c>
    </row>
    <row r="25" spans="1:20">
      <c r="D25" s="60">
        <v>10.18</v>
      </c>
      <c r="E25" s="17">
        <f t="shared" si="11"/>
        <v>2.7046260955132535</v>
      </c>
      <c r="F25" s="61">
        <f t="shared" si="12"/>
        <v>27.533093652324919</v>
      </c>
      <c r="G25" s="61">
        <f t="shared" si="13"/>
        <v>23.871315148942053</v>
      </c>
      <c r="H25" s="61">
        <f t="shared" si="14"/>
        <v>86.70044656215498</v>
      </c>
      <c r="I25" s="62">
        <f t="shared" si="15"/>
        <v>3717.0469974599596</v>
      </c>
      <c r="J25" s="38">
        <f t="shared" si="4"/>
        <v>23.871315148942227</v>
      </c>
      <c r="K25" s="38">
        <f t="shared" si="5"/>
        <v>400.98060285561309</v>
      </c>
      <c r="L25" s="38">
        <f t="shared" si="18"/>
        <v>14.563586929932733</v>
      </c>
      <c r="M25" s="38">
        <f t="shared" si="16"/>
        <v>30.86942251389204</v>
      </c>
      <c r="N25" s="38">
        <f t="shared" si="17"/>
        <v>27.731259173348189</v>
      </c>
      <c r="O25" s="38">
        <f t="shared" si="9"/>
        <v>28.839476232738942</v>
      </c>
      <c r="P25" s="34">
        <f t="shared" si="10"/>
        <v>10.668506674707327</v>
      </c>
    </row>
    <row r="26" spans="1:20">
      <c r="D26" s="36"/>
      <c r="E26" s="9"/>
      <c r="F26" s="9"/>
      <c r="G26" s="36"/>
      <c r="H26" s="9"/>
      <c r="I26" s="36"/>
      <c r="J26" s="36"/>
      <c r="K26" s="36"/>
      <c r="L26" s="9"/>
      <c r="M26" s="36"/>
      <c r="N26" s="36"/>
      <c r="O26" s="36"/>
      <c r="P26" s="88"/>
    </row>
    <row r="27" spans="1:20">
      <c r="D27" s="36"/>
      <c r="E27" s="9"/>
      <c r="F27" s="9"/>
      <c r="G27" s="36"/>
      <c r="H27" s="9"/>
      <c r="I27" s="36"/>
      <c r="J27" s="36"/>
      <c r="K27" s="36"/>
      <c r="L27" s="9"/>
      <c r="M27" s="36"/>
      <c r="N27" s="36"/>
      <c r="O27" s="36"/>
      <c r="P27" s="88"/>
    </row>
    <row r="28" spans="1:20">
      <c r="D28" s="36"/>
      <c r="E28" s="9"/>
      <c r="F28" s="9"/>
      <c r="G28" s="36"/>
      <c r="H28" s="9"/>
      <c r="I28" s="36"/>
      <c r="J28" s="36"/>
      <c r="K28" s="36"/>
      <c r="L28" s="9"/>
      <c r="M28" s="36"/>
      <c r="N28" s="36"/>
      <c r="O28" s="36"/>
      <c r="P28" s="88"/>
    </row>
    <row r="29" spans="1:20">
      <c r="H29" s="57" t="s">
        <v>380</v>
      </c>
      <c r="I29" s="90"/>
      <c r="J29" s="90"/>
      <c r="K29" s="91"/>
    </row>
    <row r="30" spans="1:20">
      <c r="O30" s="186" t="s">
        <v>407</v>
      </c>
      <c r="P30" s="186"/>
    </row>
    <row r="31" spans="1:20">
      <c r="D31" s="2"/>
      <c r="E31" s="2"/>
      <c r="F31" s="2"/>
      <c r="G31" s="2"/>
      <c r="H31" s="2"/>
      <c r="I31" s="2"/>
      <c r="J31" s="2"/>
      <c r="K31" s="4" t="s">
        <v>111</v>
      </c>
      <c r="L31" s="2"/>
      <c r="M31" s="2"/>
      <c r="N31" s="2"/>
      <c r="O31" s="69">
        <v>1.25</v>
      </c>
      <c r="P31" s="69" t="s">
        <v>394</v>
      </c>
    </row>
    <row r="32" spans="1:20">
      <c r="D32" s="2"/>
      <c r="E32" s="2"/>
      <c r="F32" s="2"/>
      <c r="G32" s="2"/>
      <c r="H32" s="2"/>
      <c r="I32" s="2"/>
      <c r="J32" s="2"/>
      <c r="K32" s="4">
        <v>1.34</v>
      </c>
      <c r="M32" s="2" t="s">
        <v>113</v>
      </c>
      <c r="N32" s="2" t="s">
        <v>251</v>
      </c>
      <c r="O32" s="69" t="s">
        <v>116</v>
      </c>
    </row>
    <row r="33" spans="1:16">
      <c r="A33" s="5" t="s">
        <v>249</v>
      </c>
      <c r="B33" s="5">
        <v>13</v>
      </c>
      <c r="D33" s="11" t="s">
        <v>425</v>
      </c>
      <c r="E33" s="12" t="s">
        <v>426</v>
      </c>
      <c r="F33" s="12" t="s">
        <v>427</v>
      </c>
      <c r="G33" s="12" t="s">
        <v>302</v>
      </c>
      <c r="H33" s="12" t="s">
        <v>48</v>
      </c>
      <c r="I33" s="13" t="s">
        <v>43</v>
      </c>
      <c r="J33" s="2" t="s">
        <v>303</v>
      </c>
      <c r="K33" s="2" t="s">
        <v>428</v>
      </c>
      <c r="L33" s="9" t="s">
        <v>112</v>
      </c>
      <c r="M33" s="9" t="s">
        <v>114</v>
      </c>
      <c r="N33" s="9" t="s">
        <v>252</v>
      </c>
      <c r="O33" s="69" t="s">
        <v>118</v>
      </c>
      <c r="P33" t="s">
        <v>383</v>
      </c>
    </row>
    <row r="34" spans="1:16">
      <c r="A34" s="5" t="s">
        <v>109</v>
      </c>
      <c r="B34" s="5">
        <v>6.5</v>
      </c>
      <c r="D34" s="35">
        <v>17.600000000000001</v>
      </c>
      <c r="E34" s="9">
        <f t="shared" ref="E34:E43" si="19">(0.5+(0.00000036*$B$37*$B$19^3*($B$34*0.0254)*($B$33*0.0254)^4)*($B$20+$B$21)*$D34-(0.25-(0.00000036*$B$37*$B$19^3*($B$34*0.0254)*($B$33*0.0254)^4)*(($B$20+$B$21)^2*$B$14-($B$20+$B$21)*$D34))^(1/2))/((0.00000036*$B$37*$B$19^3*($B$34*0.0254)*($B$33*0.0254)^4)*($B$20+$B$21)^2)</f>
        <v>10.351153496228918</v>
      </c>
      <c r="F34" s="36">
        <f t="shared" ref="F34:F42" si="20">D34*E34</f>
        <v>182.18030153362898</v>
      </c>
      <c r="G34" s="36">
        <f t="shared" ref="G34:G42" si="21">(D34-($B$20+$B$21)*E34)*(E34-$B$14)</f>
        <v>153.44202601284985</v>
      </c>
      <c r="H34" s="9">
        <f t="shared" ref="H34:H42" si="22">G34/F34*100</f>
        <v>84.225366146144907</v>
      </c>
      <c r="I34" s="37">
        <f t="shared" ref="I34:I42" si="23">$B$19*(D34-(E34*($B$20+$B$21)))</f>
        <v>5895.1320327529738</v>
      </c>
      <c r="J34" s="38">
        <f t="shared" ref="J34:J43" si="24">(($B$33*0.0254)^4)*($B$34*0.0254)*(I34^3)*2*$B$37*0.00000018</f>
        <v>153.44202601284965</v>
      </c>
      <c r="K34" s="36">
        <f t="shared" ref="K34:K43" si="25">$K$32*0.6*((0.6*3.1416*($B$33*0.0254)^2*J34^2)^(1/3))/9.81*1000</f>
        <v>1386.2301796845557</v>
      </c>
      <c r="L34" s="2">
        <f t="shared" ref="L34:L42" si="26">K34/F34</f>
        <v>7.6091112376859744</v>
      </c>
      <c r="M34" s="38">
        <f t="shared" ref="M34:M43" si="27">1.30652287/($B$33*0.0254)*POWER(K34*0.00981,3/2)</f>
        <v>198.42504289455329</v>
      </c>
      <c r="N34" s="38">
        <f t="shared" ref="N34:N43" si="28">POWER(I34/$B$36,3)*100</f>
        <v>177.37553792254354</v>
      </c>
      <c r="O34" s="38">
        <f t="shared" ref="O34:O43" si="29">0.65*60*O$10/E34</f>
        <v>7.5353920728174479</v>
      </c>
      <c r="P34" s="33">
        <f t="shared" ref="P34:P42" si="30">($B$20*$B$14+SQRT($B$20^2*$B$14^2+4*$B$20*($R$9-(D34*$B$14))))/(2*$B$20)</f>
        <v>10.371806072935762</v>
      </c>
    </row>
    <row r="35" spans="1:16">
      <c r="A35" s="10"/>
      <c r="B35" s="5"/>
      <c r="D35" s="56">
        <v>17.5</v>
      </c>
      <c r="E35" s="9">
        <f t="shared" si="19"/>
        <v>10.249774799459706</v>
      </c>
      <c r="F35" s="36">
        <f t="shared" si="20"/>
        <v>179.37105899054487</v>
      </c>
      <c r="G35" s="36">
        <f t="shared" si="21"/>
        <v>151.14915615540551</v>
      </c>
      <c r="H35" s="36">
        <f t="shared" si="22"/>
        <v>84.266189320637835</v>
      </c>
      <c r="I35" s="37">
        <f t="shared" si="23"/>
        <v>5865.6210787705713</v>
      </c>
      <c r="J35" s="38">
        <f t="shared" si="24"/>
        <v>151.14915615540576</v>
      </c>
      <c r="K35" s="63">
        <f t="shared" si="25"/>
        <v>1372.3860181229434</v>
      </c>
      <c r="L35" s="38">
        <f t="shared" si="26"/>
        <v>7.6511006058969944</v>
      </c>
      <c r="M35" s="38">
        <f t="shared" si="27"/>
        <v>195.45999601895488</v>
      </c>
      <c r="N35" s="38">
        <f t="shared" si="28"/>
        <v>174.72503183292486</v>
      </c>
      <c r="O35" s="38">
        <f t="shared" si="29"/>
        <v>7.6099232935451031</v>
      </c>
      <c r="P35" s="34">
        <f t="shared" si="30"/>
        <v>10.375861683252326</v>
      </c>
    </row>
    <row r="36" spans="1:16">
      <c r="A36" s="4" t="s">
        <v>14</v>
      </c>
      <c r="B36" s="4">
        <v>4870</v>
      </c>
      <c r="D36" s="56">
        <v>17</v>
      </c>
      <c r="E36" s="9">
        <f t="shared" si="19"/>
        <v>9.7486951963457447</v>
      </c>
      <c r="F36" s="36">
        <f t="shared" si="20"/>
        <v>165.72781833787766</v>
      </c>
      <c r="G36" s="36">
        <f t="shared" si="21"/>
        <v>139.98686177980116</v>
      </c>
      <c r="H36" s="9">
        <f t="shared" si="22"/>
        <v>84.467932531642262</v>
      </c>
      <c r="I36" s="37">
        <f t="shared" si="23"/>
        <v>5717.5221296220388</v>
      </c>
      <c r="J36" s="38">
        <f t="shared" si="24"/>
        <v>139.98686177980215</v>
      </c>
      <c r="K36" s="64">
        <f t="shared" si="25"/>
        <v>1303.9591473718604</v>
      </c>
      <c r="L36" s="2">
        <f t="shared" si="26"/>
        <v>7.8680764668814565</v>
      </c>
      <c r="M36" s="38">
        <f t="shared" si="27"/>
        <v>181.02536687703196</v>
      </c>
      <c r="N36" s="38">
        <f t="shared" si="28"/>
        <v>161.82167008275695</v>
      </c>
      <c r="O36" s="38">
        <f t="shared" si="29"/>
        <v>8.0010707514209649</v>
      </c>
      <c r="P36" s="34">
        <f t="shared" si="30"/>
        <v>10.396115772464876</v>
      </c>
    </row>
    <row r="37" spans="1:16">
      <c r="A37" s="4" t="s">
        <v>110</v>
      </c>
      <c r="B37" s="4">
        <v>1.06</v>
      </c>
      <c r="D37" s="56">
        <v>16</v>
      </c>
      <c r="E37" s="9">
        <f t="shared" si="19"/>
        <v>8.7761881202258429</v>
      </c>
      <c r="F37" s="36">
        <f t="shared" si="20"/>
        <v>140.41900992361349</v>
      </c>
      <c r="G37" s="36">
        <f t="shared" si="21"/>
        <v>119.15511225220197</v>
      </c>
      <c r="H37" s="36">
        <f t="shared" si="22"/>
        <v>84.856824098831879</v>
      </c>
      <c r="I37" s="37">
        <f t="shared" si="23"/>
        <v>5418.5487919468615</v>
      </c>
      <c r="J37" s="38">
        <f t="shared" si="24"/>
        <v>119.15511225220139</v>
      </c>
      <c r="K37" s="64">
        <f t="shared" si="25"/>
        <v>1171.1546676272512</v>
      </c>
      <c r="L37" s="38">
        <f t="shared" si="26"/>
        <v>8.3404281817992274</v>
      </c>
      <c r="M37" s="38">
        <f t="shared" si="27"/>
        <v>154.08658810180489</v>
      </c>
      <c r="N37" s="38">
        <f t="shared" si="28"/>
        <v>137.74063521675194</v>
      </c>
      <c r="O37" s="38">
        <f t="shared" si="29"/>
        <v>8.8876855112345492</v>
      </c>
      <c r="P37" s="34">
        <f t="shared" si="30"/>
        <v>10.436504889629441</v>
      </c>
    </row>
    <row r="38" spans="1:16">
      <c r="A38" s="5"/>
      <c r="B38" s="5"/>
      <c r="D38" s="56">
        <v>15</v>
      </c>
      <c r="E38" s="9">
        <f t="shared" si="19"/>
        <v>7.8444818146000621</v>
      </c>
      <c r="F38" s="36">
        <f t="shared" si="20"/>
        <v>117.66722721900094</v>
      </c>
      <c r="G38" s="36">
        <f t="shared" si="21"/>
        <v>100.27514756059988</v>
      </c>
      <c r="H38" s="9">
        <f t="shared" si="22"/>
        <v>85.219266171683373</v>
      </c>
      <c r="I38" s="37">
        <f t="shared" si="23"/>
        <v>5115.7565021534347</v>
      </c>
      <c r="J38" s="38">
        <f t="shared" si="24"/>
        <v>100.27514756060071</v>
      </c>
      <c r="K38" s="64">
        <f t="shared" si="25"/>
        <v>1043.9218955151432</v>
      </c>
      <c r="L38" s="2">
        <f t="shared" si="26"/>
        <v>8.8718152045191587</v>
      </c>
      <c r="M38" s="38">
        <f t="shared" si="27"/>
        <v>129.67177880135409</v>
      </c>
      <c r="N38" s="38">
        <f t="shared" si="28"/>
        <v>115.91581981154565</v>
      </c>
      <c r="O38" s="38">
        <f t="shared" si="29"/>
        <v>9.9432954073304458</v>
      </c>
      <c r="P38" s="34">
        <f t="shared" si="30"/>
        <v>10.476736802418507</v>
      </c>
    </row>
    <row r="39" spans="1:16">
      <c r="A39" s="5"/>
      <c r="B39" s="5"/>
      <c r="D39" s="56">
        <v>13.75</v>
      </c>
      <c r="E39" s="9">
        <f t="shared" si="19"/>
        <v>6.7396797272501558</v>
      </c>
      <c r="F39" s="36">
        <f t="shared" si="20"/>
        <v>92.670596249689638</v>
      </c>
      <c r="G39" s="36">
        <f t="shared" si="21"/>
        <v>79.34251299838003</v>
      </c>
      <c r="H39" s="9">
        <f t="shared" si="22"/>
        <v>85.617786233511751</v>
      </c>
      <c r="I39" s="37">
        <f t="shared" si="23"/>
        <v>4731.6659775293856</v>
      </c>
      <c r="J39" s="38">
        <f t="shared" si="24"/>
        <v>79.342512998379789</v>
      </c>
      <c r="K39" s="65">
        <f t="shared" si="25"/>
        <v>893.05135684857783</v>
      </c>
      <c r="L39" s="2">
        <f t="shared" si="26"/>
        <v>9.6368362025249059</v>
      </c>
      <c r="M39" s="38">
        <f t="shared" si="27"/>
        <v>102.60253956596463</v>
      </c>
      <c r="N39" s="38">
        <f t="shared" si="28"/>
        <v>91.718164109977778</v>
      </c>
      <c r="O39" s="38">
        <f t="shared" si="29"/>
        <v>11.573250236895847</v>
      </c>
      <c r="P39" s="34">
        <f t="shared" si="30"/>
        <v>10.526808396308686</v>
      </c>
    </row>
    <row r="40" spans="1:16">
      <c r="A40" s="5"/>
      <c r="B40" s="5"/>
      <c r="D40" s="56">
        <v>13</v>
      </c>
      <c r="E40" s="9">
        <f t="shared" si="19"/>
        <v>6.1099981006345168</v>
      </c>
      <c r="F40" s="36">
        <f t="shared" si="20"/>
        <v>79.429975308248714</v>
      </c>
      <c r="G40" s="36">
        <f t="shared" si="21"/>
        <v>68.163556787537402</v>
      </c>
      <c r="H40" s="36">
        <f t="shared" si="22"/>
        <v>85.815910835941921</v>
      </c>
      <c r="I40" s="37">
        <f t="shared" si="23"/>
        <v>4498.1041777806095</v>
      </c>
      <c r="J40" s="38">
        <f t="shared" si="24"/>
        <v>68.163556787538027</v>
      </c>
      <c r="K40" s="64">
        <f t="shared" si="25"/>
        <v>807.06273745358669</v>
      </c>
      <c r="L40" s="38">
        <f t="shared" si="26"/>
        <v>10.160682215014791</v>
      </c>
      <c r="M40" s="38">
        <f t="shared" si="27"/>
        <v>88.146364010339042</v>
      </c>
      <c r="N40" s="38">
        <f t="shared" si="28"/>
        <v>78.795541652264873</v>
      </c>
      <c r="O40" s="38">
        <f t="shared" si="29"/>
        <v>12.765961415258015</v>
      </c>
      <c r="P40" s="34">
        <f t="shared" si="30"/>
        <v>10.556736265839993</v>
      </c>
    </row>
    <row r="41" spans="1:16">
      <c r="A41" s="5"/>
      <c r="B41" s="5"/>
      <c r="D41" s="56">
        <v>12</v>
      </c>
      <c r="E41" s="9">
        <f t="shared" si="19"/>
        <v>5.3107645048647676</v>
      </c>
      <c r="F41" s="36">
        <f t="shared" si="20"/>
        <v>63.729174058377211</v>
      </c>
      <c r="G41" s="36">
        <f t="shared" si="21"/>
        <v>54.815078044339153</v>
      </c>
      <c r="H41" s="9">
        <f t="shared" si="22"/>
        <v>86.012534846485593</v>
      </c>
      <c r="I41" s="37">
        <f t="shared" si="23"/>
        <v>4182.9124423446574</v>
      </c>
      <c r="J41" s="38">
        <f t="shared" si="24"/>
        <v>54.81507804433933</v>
      </c>
      <c r="K41" s="64">
        <f t="shared" si="25"/>
        <v>697.92029058925061</v>
      </c>
      <c r="L41" s="2">
        <f t="shared" si="26"/>
        <v>10.951346865878749</v>
      </c>
      <c r="M41" s="38">
        <f t="shared" si="27"/>
        <v>70.884649367869329</v>
      </c>
      <c r="N41" s="38">
        <f t="shared" si="28"/>
        <v>63.364999844088857</v>
      </c>
      <c r="O41" s="38">
        <f t="shared" si="29"/>
        <v>14.687150960761002</v>
      </c>
      <c r="P41" s="34">
        <f t="shared" si="30"/>
        <v>10.596507355623901</v>
      </c>
    </row>
    <row r="42" spans="1:16">
      <c r="A42" s="5"/>
      <c r="B42" s="5"/>
      <c r="D42" s="56">
        <v>10.98</v>
      </c>
      <c r="E42" s="9">
        <f t="shared" si="19"/>
        <v>4.5449180033439811</v>
      </c>
      <c r="F42" s="36">
        <f t="shared" si="20"/>
        <v>49.903199676716916</v>
      </c>
      <c r="G42" s="36">
        <f t="shared" si="21"/>
        <v>42.967848623168571</v>
      </c>
      <c r="H42" s="9">
        <f t="shared" si="22"/>
        <v>86.10239203402395</v>
      </c>
      <c r="I42" s="37">
        <f t="shared" si="23"/>
        <v>3856.7956748870038</v>
      </c>
      <c r="J42" s="38">
        <f t="shared" si="24"/>
        <v>42.967848623169047</v>
      </c>
      <c r="K42" s="66">
        <f t="shared" si="25"/>
        <v>593.33714801256724</v>
      </c>
      <c r="L42" s="2">
        <f t="shared" si="26"/>
        <v>11.889761615614351</v>
      </c>
      <c r="M42" s="38">
        <f t="shared" si="27"/>
        <v>55.564289834292339</v>
      </c>
      <c r="N42" s="38">
        <f t="shared" si="28"/>
        <v>49.669868555247</v>
      </c>
      <c r="O42" s="38">
        <f t="shared" si="29"/>
        <v>17.162025792898906</v>
      </c>
      <c r="P42" s="34">
        <f t="shared" si="30"/>
        <v>10.636919220847556</v>
      </c>
    </row>
    <row r="43" spans="1:16">
      <c r="D43" s="60">
        <v>9</v>
      </c>
      <c r="E43" s="17">
        <f t="shared" si="19"/>
        <v>3.2091068748316829</v>
      </c>
      <c r="F43" s="61">
        <f t="shared" ref="F43" si="31">D43*E43</f>
        <v>28.881961873485146</v>
      </c>
      <c r="G43" s="61">
        <f t="shared" ref="G43" si="32">(D43-($B$20+$B$21)*E43)*(E43-$B$14)</f>
        <v>24.764390939294991</v>
      </c>
      <c r="H43" s="17">
        <f t="shared" ref="H43" si="33">G43/F43*100</f>
        <v>85.743451389393812</v>
      </c>
      <c r="I43" s="62">
        <f t="shared" ref="I43" si="34">$B$19*(D43-(E43*($B$20+$B$21)))</f>
        <v>3209.6275965157542</v>
      </c>
      <c r="J43" s="38">
        <f t="shared" si="24"/>
        <v>24.764390939294938</v>
      </c>
      <c r="K43" s="36">
        <f t="shared" si="25"/>
        <v>410.92027278846371</v>
      </c>
      <c r="L43" s="2">
        <f t="shared" ref="L43" si="35">K43/F43</f>
        <v>14.227574795246364</v>
      </c>
      <c r="M43" s="38">
        <f t="shared" si="27"/>
        <v>32.024312126689381</v>
      </c>
      <c r="N43" s="38">
        <f t="shared" si="28"/>
        <v>28.627080066146647</v>
      </c>
      <c r="O43" s="38">
        <f t="shared" si="29"/>
        <v>24.305828083114584</v>
      </c>
      <c r="P43" s="34">
        <f t="shared" ref="P43" si="36">($B$20*$B$14+SQRT($B$20^2*$B$14^2+4*$B$20*($R$9-(D43*$B$14))))/(2*$B$20)</f>
        <v>10.714926597328249</v>
      </c>
    </row>
    <row r="45" spans="1:16">
      <c r="D45" s="36"/>
      <c r="E45" s="9"/>
      <c r="F45" s="9"/>
      <c r="G45" s="36"/>
      <c r="H45" s="9"/>
      <c r="I45" s="36"/>
      <c r="J45" s="36"/>
      <c r="K45" s="36"/>
      <c r="L45" s="9"/>
      <c r="M45" s="36"/>
      <c r="N45" s="36"/>
      <c r="O45" s="36"/>
      <c r="P45" s="88"/>
    </row>
    <row r="46" spans="1:16">
      <c r="D46" s="36"/>
      <c r="E46" s="9"/>
      <c r="F46" s="9"/>
      <c r="G46" s="36"/>
      <c r="H46" s="9"/>
      <c r="I46" s="36"/>
      <c r="J46" s="36"/>
      <c r="K46" s="36"/>
      <c r="L46" s="9"/>
      <c r="M46" s="36"/>
      <c r="N46" s="36"/>
      <c r="O46" s="36"/>
      <c r="P46" s="88"/>
    </row>
    <row r="48" spans="1:16">
      <c r="H48" s="57" t="s">
        <v>281</v>
      </c>
      <c r="I48" s="90"/>
      <c r="J48" s="90"/>
      <c r="K48" s="91"/>
    </row>
    <row r="49" spans="1:16">
      <c r="O49" s="186" t="s">
        <v>407</v>
      </c>
      <c r="P49" s="186"/>
    </row>
    <row r="50" spans="1:16">
      <c r="D50" s="2"/>
      <c r="E50" s="2"/>
      <c r="F50" s="2"/>
      <c r="G50" s="2"/>
      <c r="H50" s="2"/>
      <c r="I50" s="2"/>
      <c r="J50" s="2"/>
      <c r="K50" s="4" t="s">
        <v>111</v>
      </c>
      <c r="L50" s="2"/>
      <c r="M50" s="2"/>
      <c r="N50" s="2"/>
      <c r="O50" s="69">
        <v>1.25</v>
      </c>
      <c r="P50" s="69" t="s">
        <v>394</v>
      </c>
    </row>
    <row r="51" spans="1:16">
      <c r="D51" s="2"/>
      <c r="E51" s="2"/>
      <c r="F51" s="2"/>
      <c r="G51" s="2"/>
      <c r="H51" s="2"/>
      <c r="I51" s="2"/>
      <c r="J51" s="2"/>
      <c r="K51" s="4">
        <v>1.165</v>
      </c>
      <c r="M51" s="2" t="s">
        <v>113</v>
      </c>
      <c r="N51" s="2" t="s">
        <v>251</v>
      </c>
      <c r="O51" s="69" t="s">
        <v>116</v>
      </c>
    </row>
    <row r="52" spans="1:16">
      <c r="A52" s="5" t="s">
        <v>249</v>
      </c>
      <c r="B52" s="5">
        <v>14</v>
      </c>
      <c r="D52" s="11" t="s">
        <v>425</v>
      </c>
      <c r="E52" s="12" t="s">
        <v>426</v>
      </c>
      <c r="F52" s="12" t="s">
        <v>427</v>
      </c>
      <c r="G52" s="12" t="s">
        <v>302</v>
      </c>
      <c r="H52" s="12" t="s">
        <v>48</v>
      </c>
      <c r="I52" s="13" t="s">
        <v>43</v>
      </c>
      <c r="J52" s="2" t="s">
        <v>303</v>
      </c>
      <c r="K52" s="2" t="s">
        <v>428</v>
      </c>
      <c r="L52" s="9" t="s">
        <v>112</v>
      </c>
      <c r="M52" s="9" t="s">
        <v>114</v>
      </c>
      <c r="N52" s="9" t="s">
        <v>252</v>
      </c>
      <c r="O52" s="69" t="s">
        <v>118</v>
      </c>
      <c r="P52" t="s">
        <v>383</v>
      </c>
    </row>
    <row r="53" spans="1:16">
      <c r="A53" s="5" t="s">
        <v>109</v>
      </c>
      <c r="B53" s="5">
        <v>4.7</v>
      </c>
      <c r="D53" s="35">
        <v>18.8</v>
      </c>
      <c r="E53" s="9">
        <f t="shared" ref="E53:E62" si="37">(0.5+(0.00000036*$B$56*$B$19^3*($B$53*0.0254)*($B$52*0.0254)^4)*($B$20+$B$21)*$D53-(0.25-(0.00000036*$B$56*$B$19^3*($B$53*0.0254)*($B$52*0.0254)^4)*(($B$20+$B$21)^2*$B$14-($B$20+$B$21)*$D53))^(1/2))/((0.00000036*$B$56*$B$19^3*($B$53*0.0254)*($B$52*0.0254)^4)*($B$20+$B$21)^2)</f>
        <v>10.363970166292923</v>
      </c>
      <c r="F53" s="36">
        <f t="shared" ref="F53:F61" si="38">D53*E53</f>
        <v>194.84263912630695</v>
      </c>
      <c r="G53" s="36">
        <f t="shared" ref="G53:G61" si="39">(D53-($B$20+$B$21)*E53)*(E53-$B$14)</f>
        <v>165.80125906841468</v>
      </c>
      <c r="H53" s="9">
        <f t="shared" ref="H53:H61" si="40">G53/F53*100</f>
        <v>85.094956531015697</v>
      </c>
      <c r="I53" s="37">
        <f t="shared" ref="I53:I61" si="41">$B$19*(D53-(E53*($B$20+$B$21)))</f>
        <v>6361.9323924349828</v>
      </c>
      <c r="J53" s="38">
        <f t="shared" ref="J53:J61" si="42">(($B$52*0.0254)^4)*($B$53*0.0254)*(I53^3)*2*$B$56*0.00000018</f>
        <v>165.80125906841522</v>
      </c>
      <c r="K53" s="36">
        <f>$K$51*0.6*((0.6*3.1416*($B$52*0.0254)^2*J53^2)^(1/3))/9.81*1000</f>
        <v>1333.3431443209888</v>
      </c>
      <c r="L53" s="2">
        <f t="shared" ref="L53:L61" si="43">K53/F53</f>
        <v>6.8431794513758755</v>
      </c>
      <c r="M53" s="38">
        <f t="shared" ref="M53:M61" si="44">1.30652287/($B$52*0.0254)*POWER(K53*0.00981,3/2)</f>
        <v>173.8087648653692</v>
      </c>
      <c r="N53" s="38">
        <f t="shared" ref="N53:N61" si="45">POWER(I53/$B$55,3)*100</f>
        <v>183.12899746652479</v>
      </c>
      <c r="O53" s="38">
        <f t="shared" ref="O53:O61" si="46">0.65*60*O$10/E53</f>
        <v>7.5260733819634043</v>
      </c>
      <c r="P53" s="33">
        <f t="shared" ref="P53:P61" si="47">($B$20*$B$14+SQRT($B$20^2*$B$14^2+4*$B$20*($R$9-(D53*$B$14))))/(2*$B$20)</f>
        <v>10.323013254417701</v>
      </c>
    </row>
    <row r="54" spans="1:16">
      <c r="A54" s="10"/>
      <c r="B54" s="5"/>
      <c r="D54" s="56">
        <v>18.7</v>
      </c>
      <c r="E54" s="9">
        <f t="shared" si="37"/>
        <v>10.268218943727828</v>
      </c>
      <c r="F54" s="36">
        <f t="shared" si="38"/>
        <v>192.01569424771037</v>
      </c>
      <c r="G54" s="36">
        <f t="shared" si="39"/>
        <v>163.46385189068985</v>
      </c>
      <c r="H54" s="36">
        <f t="shared" si="40"/>
        <v>85.130464221228124</v>
      </c>
      <c r="I54" s="37">
        <f t="shared" si="41"/>
        <v>6331.894706867075</v>
      </c>
      <c r="J54" s="38">
        <f t="shared" si="42"/>
        <v>163.46385189069014</v>
      </c>
      <c r="K54" s="63">
        <f t="shared" ref="K54:K62" si="48">$K$51*0.6*((0.6*3.1416*($B$52*0.0254)^2*J54^2)^(1/3))/9.81*1000</f>
        <v>1320.782182995961</v>
      </c>
      <c r="L54" s="38">
        <f t="shared" si="43"/>
        <v>6.8785116142229619</v>
      </c>
      <c r="M54" s="38">
        <f t="shared" si="44"/>
        <v>171.35847071904902</v>
      </c>
      <c r="N54" s="38">
        <f t="shared" si="45"/>
        <v>180.54730999603811</v>
      </c>
      <c r="O54" s="38">
        <f t="shared" si="46"/>
        <v>7.5962540755566001</v>
      </c>
      <c r="P54" s="34">
        <f t="shared" si="47"/>
        <v>10.327088213823782</v>
      </c>
    </row>
    <row r="55" spans="1:16">
      <c r="A55" s="4" t="s">
        <v>14</v>
      </c>
      <c r="B55" s="4">
        <v>5200</v>
      </c>
      <c r="D55" s="56">
        <v>18</v>
      </c>
      <c r="E55" s="9">
        <f t="shared" si="37"/>
        <v>9.6078134746611532</v>
      </c>
      <c r="F55" s="36">
        <f t="shared" si="38"/>
        <v>172.94064254390076</v>
      </c>
      <c r="G55" s="36">
        <f t="shared" si="39"/>
        <v>147.6473984473532</v>
      </c>
      <c r="H55" s="9">
        <f t="shared" si="40"/>
        <v>85.374609620681312</v>
      </c>
      <c r="I55" s="37">
        <f t="shared" si="41"/>
        <v>6120.7086587717158</v>
      </c>
      <c r="J55" s="38">
        <f t="shared" si="42"/>
        <v>147.64739844735357</v>
      </c>
      <c r="K55" s="64">
        <f t="shared" si="48"/>
        <v>1234.148014433335</v>
      </c>
      <c r="L55" s="2">
        <f t="shared" si="43"/>
        <v>7.136252047404346</v>
      </c>
      <c r="M55" s="38">
        <f t="shared" si="44"/>
        <v>154.77814887479454</v>
      </c>
      <c r="N55" s="38">
        <f t="shared" si="45"/>
        <v>163.07789342569097</v>
      </c>
      <c r="O55" s="38">
        <f t="shared" si="46"/>
        <v>8.118392411104848</v>
      </c>
      <c r="P55" s="34">
        <f t="shared" si="47"/>
        <v>10.355567593588695</v>
      </c>
    </row>
    <row r="56" spans="1:16">
      <c r="A56" s="4" t="s">
        <v>110</v>
      </c>
      <c r="B56" s="4">
        <v>0.93700000000000006</v>
      </c>
      <c r="D56" s="56">
        <v>17</v>
      </c>
      <c r="E56" s="9">
        <f t="shared" si="37"/>
        <v>8.6948893687616362</v>
      </c>
      <c r="F56" s="36">
        <f t="shared" si="38"/>
        <v>147.81311926894782</v>
      </c>
      <c r="G56" s="36">
        <f t="shared" si="39"/>
        <v>126.68620968624739</v>
      </c>
      <c r="H56" s="36">
        <f t="shared" si="40"/>
        <v>85.707013229143925</v>
      </c>
      <c r="I56" s="37">
        <f t="shared" si="41"/>
        <v>5816.1583550839105</v>
      </c>
      <c r="J56" s="38">
        <f t="shared" si="42"/>
        <v>126.68620968624722</v>
      </c>
      <c r="K56" s="64">
        <f t="shared" si="48"/>
        <v>1114.3876178588437</v>
      </c>
      <c r="L56" s="38">
        <f t="shared" si="43"/>
        <v>7.5391658289221368</v>
      </c>
      <c r="M56" s="38">
        <f t="shared" si="44"/>
        <v>132.80462256294408</v>
      </c>
      <c r="N56" s="38">
        <f t="shared" si="45"/>
        <v>139.92606994077966</v>
      </c>
      <c r="O56" s="38">
        <f t="shared" si="46"/>
        <v>8.9707869406864109</v>
      </c>
      <c r="P56" s="34">
        <f t="shared" si="47"/>
        <v>10.396115772464876</v>
      </c>
    </row>
    <row r="57" spans="1:16">
      <c r="A57" s="5"/>
      <c r="B57" s="5"/>
      <c r="D57" s="56">
        <v>16</v>
      </c>
      <c r="E57" s="9">
        <f t="shared" si="37"/>
        <v>7.8189651830134448</v>
      </c>
      <c r="F57" s="36">
        <f t="shared" si="38"/>
        <v>125.10344292821512</v>
      </c>
      <c r="G57" s="36">
        <f t="shared" si="39"/>
        <v>107.6060612890374</v>
      </c>
      <c r="H57" s="9">
        <f t="shared" si="40"/>
        <v>86.013668984939301</v>
      </c>
      <c r="I57" s="37">
        <f t="shared" si="41"/>
        <v>5508.1448588699413</v>
      </c>
      <c r="J57" s="38">
        <f t="shared" si="42"/>
        <v>107.60606128903784</v>
      </c>
      <c r="K57" s="64">
        <f t="shared" si="48"/>
        <v>999.48099289792049</v>
      </c>
      <c r="L57" s="2">
        <f t="shared" si="43"/>
        <v>7.9892365030387449</v>
      </c>
      <c r="M57" s="38">
        <f t="shared" si="44"/>
        <v>112.80298297950465</v>
      </c>
      <c r="N57" s="38">
        <f t="shared" si="45"/>
        <v>118.85187263295541</v>
      </c>
      <c r="O57" s="38">
        <f t="shared" si="46"/>
        <v>9.975744638108063</v>
      </c>
      <c r="P57" s="34">
        <f t="shared" si="47"/>
        <v>10.436504889629441</v>
      </c>
    </row>
    <row r="58" spans="1:16">
      <c r="A58" s="5"/>
      <c r="B58" s="5"/>
      <c r="D58" s="56">
        <v>14.6</v>
      </c>
      <c r="E58" s="9">
        <f t="shared" si="37"/>
        <v>6.6573050835715293</v>
      </c>
      <c r="F58" s="36">
        <f t="shared" si="38"/>
        <v>97.196654220144325</v>
      </c>
      <c r="G58" s="36">
        <f t="shared" si="39"/>
        <v>83.959474229976408</v>
      </c>
      <c r="H58" s="9">
        <f t="shared" si="40"/>
        <v>86.381033281056645</v>
      </c>
      <c r="I58" s="37">
        <f t="shared" si="41"/>
        <v>5070.8762441777053</v>
      </c>
      <c r="J58" s="38">
        <f t="shared" si="42"/>
        <v>83.959474229976067</v>
      </c>
      <c r="K58" s="65">
        <f t="shared" si="48"/>
        <v>847.09058793994234</v>
      </c>
      <c r="L58" s="2">
        <f t="shared" si="43"/>
        <v>8.7152237362135452</v>
      </c>
      <c r="M58" s="38">
        <f t="shared" si="44"/>
        <v>88.014364888727485</v>
      </c>
      <c r="N58" s="38">
        <f t="shared" si="45"/>
        <v>92.734002322670108</v>
      </c>
      <c r="O58" s="38">
        <f t="shared" si="46"/>
        <v>11.716452681804142</v>
      </c>
      <c r="P58" s="34">
        <f t="shared" si="47"/>
        <v>10.492785959500946</v>
      </c>
    </row>
    <row r="59" spans="1:16">
      <c r="A59" s="5"/>
      <c r="B59" s="5"/>
      <c r="D59" s="56">
        <v>13.6</v>
      </c>
      <c r="E59" s="9">
        <f t="shared" si="37"/>
        <v>5.8755985795454411</v>
      </c>
      <c r="F59" s="36">
        <f t="shared" si="38"/>
        <v>79.908140681817997</v>
      </c>
      <c r="G59" s="36">
        <f t="shared" si="39"/>
        <v>69.184731333326638</v>
      </c>
      <c r="H59" s="36">
        <f t="shared" si="40"/>
        <v>86.580329291867358</v>
      </c>
      <c r="I59" s="37">
        <f t="shared" si="41"/>
        <v>4754.0439729545469</v>
      </c>
      <c r="J59" s="38">
        <f t="shared" si="42"/>
        <v>69.184731333326866</v>
      </c>
      <c r="K59" s="64">
        <f t="shared" si="48"/>
        <v>744.54374935605881</v>
      </c>
      <c r="L59" s="38">
        <f t="shared" si="43"/>
        <v>9.317495601865124</v>
      </c>
      <c r="M59" s="38">
        <f t="shared" si="44"/>
        <v>72.526063843858196</v>
      </c>
      <c r="N59" s="38">
        <f t="shared" si="45"/>
        <v>76.415164518352995</v>
      </c>
      <c r="O59" s="38">
        <f t="shared" si="46"/>
        <v>13.275243184845753</v>
      </c>
      <c r="P59" s="34">
        <f t="shared" si="47"/>
        <v>10.532800838381482</v>
      </c>
    </row>
    <row r="60" spans="1:16">
      <c r="A60" s="5"/>
      <c r="B60" s="5"/>
      <c r="D60" s="56">
        <v>13</v>
      </c>
      <c r="E60" s="9">
        <f t="shared" si="37"/>
        <v>5.4265004460243924</v>
      </c>
      <c r="F60" s="36">
        <f t="shared" si="38"/>
        <v>70.544505798317104</v>
      </c>
      <c r="G60" s="36">
        <f t="shared" si="39"/>
        <v>61.137720117957571</v>
      </c>
      <c r="H60" s="9">
        <f t="shared" si="40"/>
        <v>86.665459522456615</v>
      </c>
      <c r="I60" s="37">
        <f t="shared" si="41"/>
        <v>4562.0795582521168</v>
      </c>
      <c r="J60" s="38">
        <f t="shared" si="42"/>
        <v>61.137720117957521</v>
      </c>
      <c r="K60" s="64">
        <f t="shared" si="48"/>
        <v>685.62957431809025</v>
      </c>
      <c r="L60" s="2">
        <f t="shared" si="43"/>
        <v>9.7191066343035679</v>
      </c>
      <c r="M60" s="38">
        <f t="shared" si="44"/>
        <v>64.090415718749568</v>
      </c>
      <c r="N60" s="38">
        <f t="shared" si="45"/>
        <v>67.527167498593371</v>
      </c>
      <c r="O60" s="38">
        <f t="shared" si="46"/>
        <v>14.373904651043565</v>
      </c>
      <c r="P60" s="34">
        <f t="shared" si="47"/>
        <v>10.556736265839993</v>
      </c>
    </row>
    <row r="61" spans="1:16">
      <c r="A61" s="5"/>
      <c r="B61" s="5"/>
      <c r="D61" s="56">
        <v>11.5</v>
      </c>
      <c r="E61" s="9">
        <f t="shared" si="37"/>
        <v>4.371698672979873</v>
      </c>
      <c r="F61" s="36">
        <f t="shared" si="38"/>
        <v>50.274534739268539</v>
      </c>
      <c r="G61" s="36">
        <f t="shared" si="39"/>
        <v>43.597556446611421</v>
      </c>
      <c r="H61" s="9">
        <f t="shared" si="40"/>
        <v>86.718965521441518</v>
      </c>
      <c r="I61" s="37">
        <f t="shared" si="41"/>
        <v>4075.8090042090844</v>
      </c>
      <c r="J61" s="38">
        <f t="shared" si="42"/>
        <v>43.597556446611243</v>
      </c>
      <c r="K61" s="66">
        <f t="shared" si="48"/>
        <v>547.25719721581629</v>
      </c>
      <c r="L61" s="2">
        <f t="shared" si="43"/>
        <v>10.885375668894326</v>
      </c>
      <c r="M61" s="38">
        <f t="shared" si="44"/>
        <v>45.703135668028438</v>
      </c>
      <c r="N61" s="38">
        <f t="shared" si="45"/>
        <v>48.153897316085434</v>
      </c>
      <c r="O61" s="38">
        <f t="shared" si="46"/>
        <v>17.842034832385416</v>
      </c>
      <c r="P61" s="34">
        <f t="shared" si="47"/>
        <v>10.616336497722642</v>
      </c>
    </row>
    <row r="62" spans="1:16">
      <c r="D62" s="60">
        <v>9.6999999999999993</v>
      </c>
      <c r="E62" s="17">
        <f t="shared" si="37"/>
        <v>3.2406274694437047</v>
      </c>
      <c r="F62" s="61">
        <f t="shared" ref="F62" si="49">D62*E62</f>
        <v>31.434086453603932</v>
      </c>
      <c r="G62" s="61">
        <f t="shared" ref="G62" si="50">(D62-($B$20+$B$21)*E62)*(E62-$B$14)</f>
        <v>27.129236637166084</v>
      </c>
      <c r="H62" s="17">
        <f t="shared" ref="H62" si="51">G62/F62*100</f>
        <v>86.305153729243202</v>
      </c>
      <c r="I62" s="62">
        <f t="shared" ref="I62" si="52">$B$19*(D62-(E62*($B$20+$B$21)))</f>
        <v>3479.677268860069</v>
      </c>
      <c r="J62" s="38">
        <f t="shared" ref="J62" si="53">(($B$52*0.0254)^4)*($B$53*0.0254)*(I62^3)*2*$B$56*0.00000018</f>
        <v>27.129236637165782</v>
      </c>
      <c r="K62" s="36">
        <f t="shared" si="48"/>
        <v>398.87954455650066</v>
      </c>
      <c r="L62" s="2">
        <f t="shared" ref="L62" si="54">K62/F62</f>
        <v>12.689395161689802</v>
      </c>
      <c r="M62" s="38">
        <f t="shared" ref="M62" si="55">1.30652287/($B$52*0.0254)*POWER(K62*0.00981,3/2)</f>
        <v>28.439465044716052</v>
      </c>
      <c r="N62" s="38">
        <f t="shared" ref="N62" si="56">POWER(I62/$B$55,3)*100</f>
        <v>29.964488420116624</v>
      </c>
      <c r="O62" s="38">
        <f t="shared" ref="O62" si="57">0.65*60*O$10/E62</f>
        <v>24.069412709566922</v>
      </c>
      <c r="P62" s="34">
        <f t="shared" ref="P62" si="58">($B$20*$B$14+SQRT($B$20^2*$B$14^2+4*$B$20*($R$9-(D62*$B$14))))/(2*$B$20)</f>
        <v>10.68741391149573</v>
      </c>
    </row>
    <row r="66" spans="1:16">
      <c r="H66" s="57" t="s">
        <v>168</v>
      </c>
      <c r="I66" s="58"/>
      <c r="J66" s="58"/>
      <c r="K66" s="58"/>
      <c r="L66" s="58"/>
      <c r="M66" s="59"/>
    </row>
    <row r="67" spans="1:16">
      <c r="O67" s="186" t="s">
        <v>407</v>
      </c>
      <c r="P67" s="186"/>
    </row>
    <row r="68" spans="1:16">
      <c r="D68" s="2"/>
      <c r="E68" s="2"/>
      <c r="F68" s="2"/>
      <c r="G68" s="2"/>
      <c r="H68" s="2"/>
      <c r="I68" s="2"/>
      <c r="J68" s="2"/>
      <c r="K68" s="4" t="s">
        <v>111</v>
      </c>
      <c r="L68" s="2"/>
      <c r="M68" s="2"/>
      <c r="N68" s="2"/>
      <c r="O68" s="69">
        <v>1.25</v>
      </c>
      <c r="P68" s="69" t="s">
        <v>394</v>
      </c>
    </row>
    <row r="69" spans="1:16">
      <c r="D69" s="2"/>
      <c r="E69" s="2"/>
      <c r="F69" s="2"/>
      <c r="G69" s="2"/>
      <c r="H69" s="2"/>
      <c r="I69" s="2"/>
      <c r="J69" s="2"/>
      <c r="K69" s="4">
        <v>1.29</v>
      </c>
      <c r="M69" s="2" t="s">
        <v>113</v>
      </c>
      <c r="N69" s="2" t="s">
        <v>251</v>
      </c>
      <c r="O69" s="69" t="s">
        <v>116</v>
      </c>
    </row>
    <row r="70" spans="1:16">
      <c r="A70" s="5" t="s">
        <v>249</v>
      </c>
      <c r="B70" s="5">
        <v>15</v>
      </c>
      <c r="D70" s="11" t="s">
        <v>425</v>
      </c>
      <c r="E70" s="12" t="s">
        <v>426</v>
      </c>
      <c r="F70" s="12" t="s">
        <v>427</v>
      </c>
      <c r="G70" s="12" t="s">
        <v>302</v>
      </c>
      <c r="H70" s="12" t="s">
        <v>48</v>
      </c>
      <c r="I70" s="13" t="s">
        <v>43</v>
      </c>
      <c r="J70" s="2" t="s">
        <v>303</v>
      </c>
      <c r="K70" s="2" t="s">
        <v>428</v>
      </c>
      <c r="L70" s="9" t="s">
        <v>112</v>
      </c>
      <c r="M70" s="9" t="s">
        <v>114</v>
      </c>
      <c r="N70" s="9" t="s">
        <v>252</v>
      </c>
      <c r="O70" s="69" t="s">
        <v>118</v>
      </c>
      <c r="P70" t="s">
        <v>383</v>
      </c>
    </row>
    <row r="71" spans="1:16">
      <c r="A71" s="5" t="s">
        <v>109</v>
      </c>
      <c r="B71" s="5">
        <v>5</v>
      </c>
      <c r="D71" s="35">
        <v>14.4</v>
      </c>
      <c r="E71" s="9">
        <f t="shared" ref="E71:E78" si="59">(0.5+(0.00000036*$B$74*$B$19^3*($B$71*0.0254)*($B$70*0.0254)^4)*($B$20+$B$21)*$D71-(0.25-(0.00000036*$B$74*$B$19^3*($B$71*0.0254)*($B$70*0.0254)^4)*(($B$20+$B$21)^2*$B$14-($B$20+$B$21)*$D71))^(1/2))/((0.00000036*$B$74*$B$19^3*($B$71*0.0254)*($B$70*0.0254)^4)*($B$20+$B$21)^2)</f>
        <v>10.516849307195864</v>
      </c>
      <c r="F71" s="36">
        <f t="shared" ref="F71:F76" si="60">D71*E71</f>
        <v>151.44263002362044</v>
      </c>
      <c r="G71" s="36">
        <f t="shared" ref="G71:G76" si="61">(D71-($B$20+$B$21)*E71)*(E71-$B$14)</f>
        <v>122.52245014630198</v>
      </c>
      <c r="H71" s="9">
        <f t="shared" ref="H71:H76" si="62">G71/F71*100</f>
        <v>80.903540916578251</v>
      </c>
      <c r="I71" s="37">
        <f t="shared" ref="I71:I76" si="63">$B$19*(D71-(E71*($B$20+$B$21)))</f>
        <v>4631.6229048464666</v>
      </c>
      <c r="J71" s="38">
        <f t="shared" ref="J71:J77" si="64">(($B$70*0.0254)^4)*($B$71*0.0254)*(I71^3)*2*$B$74*0.00000018</f>
        <v>122.52245014630137</v>
      </c>
      <c r="K71" s="36">
        <f>$K$69*0.6*((0.6*3.1416*($B$70*0.0254)^2*J71^2)^(1/3))/9.81*1000</f>
        <v>1263.5713357470927</v>
      </c>
      <c r="L71" s="2">
        <f t="shared" ref="L71:L76" si="65">K71/F71</f>
        <v>8.343564394979234</v>
      </c>
      <c r="M71" s="38">
        <f t="shared" ref="M71:M77" si="66">1.30652287/($B$70*0.0254)*POWER(K71*0.00981,3/2)</f>
        <v>149.65636746963401</v>
      </c>
      <c r="N71" s="38">
        <f t="shared" ref="N71:N77" si="67">POWER(I71/$B$73,3)*100</f>
        <v>102.07657365696747</v>
      </c>
      <c r="O71" s="38">
        <f t="shared" ref="O71:O77" si="68">0.65*60*O$10/E71</f>
        <v>7.4166699285717304</v>
      </c>
      <c r="P71" s="33">
        <f t="shared" ref="P71:P76" si="69">($B$20*$B$14+SQRT($B$20^2*$B$14^2+4*$B$20*($R$9-(D71*$B$14))))/(2*$B$20)</f>
        <v>10.500801251185733</v>
      </c>
    </row>
    <row r="72" spans="1:16">
      <c r="A72" s="10"/>
      <c r="B72" s="5"/>
      <c r="D72" s="56">
        <v>14.3</v>
      </c>
      <c r="E72" s="9">
        <f t="shared" si="59"/>
        <v>10.394491908877058</v>
      </c>
      <c r="F72" s="36">
        <f t="shared" si="60"/>
        <v>148.64123429694192</v>
      </c>
      <c r="G72" s="36">
        <f t="shared" si="61"/>
        <v>120.3492590180775</v>
      </c>
      <c r="H72" s="9">
        <f t="shared" si="62"/>
        <v>80.966267259093598</v>
      </c>
      <c r="I72" s="37">
        <f t="shared" si="63"/>
        <v>4604.0755573291081</v>
      </c>
      <c r="J72" s="38">
        <f t="shared" si="64"/>
        <v>120.34925901807776</v>
      </c>
      <c r="K72" s="63">
        <f t="shared" ref="K72:K77" si="70">$K$69*0.6*((0.6*3.1416*($B$70*0.0254)^2*J72^2)^(1/3))/9.81*1000</f>
        <v>1248.5854329168258</v>
      </c>
      <c r="L72" s="2">
        <f t="shared" si="65"/>
        <v>8.3999937084921914</v>
      </c>
      <c r="M72" s="38">
        <f t="shared" si="66"/>
        <v>147.00189974001523</v>
      </c>
      <c r="N72" s="38">
        <f t="shared" si="67"/>
        <v>100.26603278053294</v>
      </c>
      <c r="O72" s="38">
        <f t="shared" si="68"/>
        <v>7.5039742859760938</v>
      </c>
      <c r="P72" s="34">
        <f t="shared" si="69"/>
        <v>10.504806581575652</v>
      </c>
    </row>
    <row r="73" spans="1:16">
      <c r="A73" s="4" t="s">
        <v>14</v>
      </c>
      <c r="B73" s="4">
        <v>4600</v>
      </c>
      <c r="D73" s="56">
        <v>12</v>
      </c>
      <c r="E73" s="9">
        <f t="shared" si="59"/>
        <v>7.7287462089474062</v>
      </c>
      <c r="F73" s="36">
        <f t="shared" si="60"/>
        <v>92.744954507368874</v>
      </c>
      <c r="G73" s="36">
        <f t="shared" si="61"/>
        <v>76.379890014441813</v>
      </c>
      <c r="H73" s="36">
        <f t="shared" si="62"/>
        <v>82.354765733777128</v>
      </c>
      <c r="I73" s="37">
        <f t="shared" si="63"/>
        <v>3956.5893548425229</v>
      </c>
      <c r="J73" s="38">
        <f t="shared" si="64"/>
        <v>76.379890014441926</v>
      </c>
      <c r="K73" s="64">
        <f t="shared" si="70"/>
        <v>922.09429647337424</v>
      </c>
      <c r="L73" s="38">
        <f t="shared" si="65"/>
        <v>9.942258329536525</v>
      </c>
      <c r="M73" s="38">
        <f t="shared" si="66"/>
        <v>93.295039999953914</v>
      </c>
      <c r="N73" s="38">
        <f t="shared" si="67"/>
        <v>63.634031637961108</v>
      </c>
      <c r="O73" s="38">
        <f t="shared" si="68"/>
        <v>10.09219320847941</v>
      </c>
      <c r="P73" s="34">
        <f t="shared" si="69"/>
        <v>10.596507355623901</v>
      </c>
    </row>
    <row r="74" spans="1:16">
      <c r="A74" s="4" t="s">
        <v>110</v>
      </c>
      <c r="B74" s="4">
        <v>1.28</v>
      </c>
      <c r="D74" s="56">
        <v>11.5</v>
      </c>
      <c r="E74" s="9">
        <f t="shared" si="59"/>
        <v>7.1889570759326862</v>
      </c>
      <c r="F74" s="36">
        <f t="shared" si="60"/>
        <v>82.673006373225888</v>
      </c>
      <c r="G74" s="36">
        <f t="shared" si="61"/>
        <v>68.314611391366029</v>
      </c>
      <c r="H74" s="9">
        <f t="shared" si="62"/>
        <v>82.632305740716475</v>
      </c>
      <c r="I74" s="37">
        <f t="shared" si="63"/>
        <v>3812.1136176927007</v>
      </c>
      <c r="J74" s="38">
        <f t="shared" si="64"/>
        <v>68.314611391366228</v>
      </c>
      <c r="K74" s="65">
        <f t="shared" si="70"/>
        <v>855.98282624481953</v>
      </c>
      <c r="L74" s="2">
        <f t="shared" si="65"/>
        <v>10.353836926898479</v>
      </c>
      <c r="M74" s="38">
        <f t="shared" si="66"/>
        <v>83.443618485621414</v>
      </c>
      <c r="N74" s="38">
        <f t="shared" si="67"/>
        <v>56.914642608038065</v>
      </c>
      <c r="O74" s="38">
        <f t="shared" si="68"/>
        <v>10.849974367092793</v>
      </c>
      <c r="P74" s="34">
        <f t="shared" si="69"/>
        <v>10.616336497722642</v>
      </c>
    </row>
    <row r="75" spans="1:16">
      <c r="A75" s="5"/>
      <c r="B75" s="5"/>
      <c r="D75" s="56">
        <v>11</v>
      </c>
      <c r="E75" s="9">
        <f t="shared" si="59"/>
        <v>6.6642619784087884</v>
      </c>
      <c r="F75" s="36">
        <f t="shared" si="60"/>
        <v>73.306881762496673</v>
      </c>
      <c r="G75" s="36">
        <f t="shared" si="61"/>
        <v>60.767793285412679</v>
      </c>
      <c r="H75" s="9">
        <f t="shared" si="62"/>
        <v>82.895073183294357</v>
      </c>
      <c r="I75" s="37">
        <f t="shared" si="63"/>
        <v>3666.2250788209371</v>
      </c>
      <c r="J75" s="38">
        <f t="shared" si="64"/>
        <v>60.76779328541253</v>
      </c>
      <c r="K75" s="64">
        <f t="shared" si="70"/>
        <v>791.72002027596193</v>
      </c>
      <c r="L75" s="2">
        <f t="shared" si="65"/>
        <v>10.80007771768299</v>
      </c>
      <c r="M75" s="38">
        <f t="shared" si="66"/>
        <v>74.225476158705277</v>
      </c>
      <c r="N75" s="38">
        <f t="shared" si="67"/>
        <v>50.627196239243958</v>
      </c>
      <c r="O75" s="38">
        <f t="shared" si="68"/>
        <v>11.704221750691724</v>
      </c>
      <c r="P75" s="34">
        <f t="shared" si="69"/>
        <v>10.636128321162381</v>
      </c>
    </row>
    <row r="76" spans="1:16">
      <c r="A76" s="5"/>
      <c r="B76" s="5"/>
      <c r="D76" s="56">
        <v>10</v>
      </c>
      <c r="E76" s="9">
        <f t="shared" si="59"/>
        <v>5.6619835181116596</v>
      </c>
      <c r="F76" s="36">
        <f t="shared" si="60"/>
        <v>56.619835181116599</v>
      </c>
      <c r="G76" s="36">
        <f t="shared" si="61"/>
        <v>47.197676623737614</v>
      </c>
      <c r="H76" s="36">
        <f t="shared" si="62"/>
        <v>83.358908539314527</v>
      </c>
      <c r="I76" s="37">
        <f t="shared" si="63"/>
        <v>3370.0383427047486</v>
      </c>
      <c r="J76" s="38">
        <f t="shared" si="64"/>
        <v>47.197676623737813</v>
      </c>
      <c r="K76" s="64">
        <f t="shared" si="70"/>
        <v>668.96448753935351</v>
      </c>
      <c r="L76" s="38">
        <f t="shared" si="65"/>
        <v>11.815020043761294</v>
      </c>
      <c r="M76" s="38">
        <f t="shared" si="66"/>
        <v>57.650110882379259</v>
      </c>
      <c r="N76" s="38">
        <f t="shared" si="67"/>
        <v>39.321586440427055</v>
      </c>
      <c r="O76" s="38">
        <f t="shared" si="68"/>
        <v>13.776090967148196</v>
      </c>
      <c r="P76" s="34">
        <f t="shared" si="69"/>
        <v>10.675600849754746</v>
      </c>
    </row>
    <row r="77" spans="1:16">
      <c r="A77" s="5"/>
      <c r="B77" s="5"/>
      <c r="D77" s="56">
        <v>8.9</v>
      </c>
      <c r="E77" s="9">
        <f t="shared" si="59"/>
        <v>4.6359910307336998</v>
      </c>
      <c r="F77" s="36">
        <f t="shared" ref="F77" si="71">D77*E77</f>
        <v>41.260320173529927</v>
      </c>
      <c r="G77" s="36">
        <f t="shared" ref="G77" si="72">(D77-($B$20+$B$21)*E77)*(E77-$B$14)</f>
        <v>34.544668662114752</v>
      </c>
      <c r="H77" s="9">
        <f t="shared" ref="H77" si="73">G77/F77*100</f>
        <v>83.723704801196575</v>
      </c>
      <c r="I77" s="37">
        <f t="shared" ref="I77" si="74">$B$19*(D77-(E77*($B$20+$B$21)))</f>
        <v>3037.0712395233259</v>
      </c>
      <c r="J77" s="38">
        <f t="shared" si="64"/>
        <v>34.54466866211478</v>
      </c>
      <c r="K77" s="66">
        <f t="shared" si="70"/>
        <v>543.30454435898264</v>
      </c>
      <c r="L77" s="2">
        <f t="shared" ref="L77" si="75">K77/F77</f>
        <v>13.167724876442749</v>
      </c>
      <c r="M77" s="38">
        <f t="shared" si="66"/>
        <v>42.194957913762082</v>
      </c>
      <c r="N77" s="38">
        <f t="shared" si="67"/>
        <v>28.780043256834446</v>
      </c>
      <c r="O77" s="38">
        <f t="shared" si="68"/>
        <v>16.824881558853143</v>
      </c>
      <c r="P77" s="34">
        <f t="shared" ref="P77" si="76">($B$20*$B$14+SQRT($B$20^2*$B$14^2+4*$B$20*($R$9-(D77*$B$14))))/(2*$B$20)</f>
        <v>10.718851161966628</v>
      </c>
    </row>
    <row r="78" spans="1:16">
      <c r="A78" s="5"/>
      <c r="B78" s="5"/>
      <c r="D78" s="60">
        <v>7.5</v>
      </c>
      <c r="E78" s="17">
        <f t="shared" si="59"/>
        <v>3.4550896475123611</v>
      </c>
      <c r="F78" s="61">
        <f>D78*E78</f>
        <v>25.913172356342709</v>
      </c>
      <c r="G78" s="61">
        <f>(D78-($B$20+$B$21)*E78)*(E78-$B$14)</f>
        <v>21.713981986059999</v>
      </c>
      <c r="H78" s="17">
        <f>G78/F78*100</f>
        <v>83.795151313247501</v>
      </c>
      <c r="I78" s="62">
        <f>$B$19*(D78-(E78*($B$20+$B$21)))</f>
        <v>2601.603608992843</v>
      </c>
      <c r="J78" s="38">
        <f>(($B$70*0.0254)^4)*($B$71*0.0254)*(I78^3)*2*$B$74*0.00000018</f>
        <v>21.71398198605997</v>
      </c>
      <c r="K78" s="36">
        <f>$K$69*0.6*((0.6*3.1416*($B$70*0.0254)^2*J78^2)^(1/3))/9.81*1000</f>
        <v>398.67190567714823</v>
      </c>
      <c r="L78" s="2">
        <f>K78/F78</f>
        <v>15.384913132010492</v>
      </c>
      <c r="M78" s="38">
        <f>1.30652287/($B$70*0.0254)*POWER(K78*0.00981,3/2)</f>
        <v>26.522777364103362</v>
      </c>
      <c r="N78" s="38">
        <f>POWER(I78/$B$73,3)*100</f>
        <v>18.09047141107164</v>
      </c>
      <c r="O78" s="38">
        <f>0.65*60*O$10/E78</f>
        <v>22.575391077380417</v>
      </c>
      <c r="P78" s="34">
        <f>($B$20*$B$14+SQRT($B$20^2*$B$14^2+4*$B$20*($R$9-(D78*$B$14))))/(2*$B$20)</f>
        <v>10.773643551602548</v>
      </c>
    </row>
    <row r="79" spans="1:16">
      <c r="A79" s="5"/>
      <c r="B79" s="5"/>
    </row>
    <row r="82" spans="1:16">
      <c r="H82" s="57" t="s">
        <v>344</v>
      </c>
      <c r="I82" s="90"/>
      <c r="J82" s="90"/>
      <c r="K82" s="90"/>
      <c r="L82" s="90"/>
      <c r="M82" s="91"/>
    </row>
    <row r="83" spans="1:16">
      <c r="O83" s="186" t="s">
        <v>407</v>
      </c>
      <c r="P83" s="186"/>
    </row>
    <row r="84" spans="1:16">
      <c r="D84" s="2"/>
      <c r="E84" s="2"/>
      <c r="F84" s="2"/>
      <c r="G84" s="2"/>
      <c r="H84" s="2"/>
      <c r="I84" s="2"/>
      <c r="J84" s="2"/>
      <c r="K84" s="4" t="s">
        <v>111</v>
      </c>
      <c r="L84" s="2"/>
      <c r="M84" s="2"/>
      <c r="N84" s="2"/>
      <c r="O84" s="69">
        <v>1.25</v>
      </c>
      <c r="P84" s="69" t="s">
        <v>394</v>
      </c>
    </row>
    <row r="85" spans="1:16">
      <c r="D85" s="2"/>
      <c r="E85" s="2"/>
      <c r="F85" s="2"/>
      <c r="G85" s="2"/>
      <c r="H85" s="2"/>
      <c r="I85" s="2"/>
      <c r="J85" s="2"/>
      <c r="K85" s="4">
        <v>1.29</v>
      </c>
      <c r="M85" s="2" t="s">
        <v>113</v>
      </c>
      <c r="N85" s="2" t="s">
        <v>251</v>
      </c>
      <c r="O85" s="69" t="s">
        <v>116</v>
      </c>
    </row>
    <row r="86" spans="1:16">
      <c r="A86" s="5" t="s">
        <v>249</v>
      </c>
      <c r="B86" s="5">
        <v>12</v>
      </c>
      <c r="D86" s="11" t="s">
        <v>425</v>
      </c>
      <c r="E86" s="12" t="s">
        <v>426</v>
      </c>
      <c r="F86" s="12" t="s">
        <v>427</v>
      </c>
      <c r="G86" s="12" t="s">
        <v>302</v>
      </c>
      <c r="H86" s="12" t="s">
        <v>48</v>
      </c>
      <c r="I86" s="13" t="s">
        <v>43</v>
      </c>
      <c r="J86" s="2" t="s">
        <v>303</v>
      </c>
      <c r="K86" s="2" t="s">
        <v>428</v>
      </c>
      <c r="L86" s="9" t="s">
        <v>112</v>
      </c>
      <c r="M86" s="9" t="s">
        <v>114</v>
      </c>
      <c r="N86" s="9" t="s">
        <v>252</v>
      </c>
      <c r="O86" s="69" t="s">
        <v>118</v>
      </c>
      <c r="P86" t="s">
        <v>383</v>
      </c>
    </row>
    <row r="87" spans="1:16">
      <c r="A87" s="5" t="s">
        <v>109</v>
      </c>
      <c r="B87" s="5">
        <v>4.5</v>
      </c>
      <c r="D87" s="35">
        <v>23.2</v>
      </c>
      <c r="E87" s="9">
        <f t="shared" ref="E87:E99" si="77">(0.5+(0.00000036*$B$90*$B$19^3*($B$87*0.0254)*($B$86*0.0254)^4)*($B$20+$B$21)*$D87-(0.25-(0.00000036*$B$90*$B$19^3*($B$87*0.0254)*($B$86*0.0254)^4)*(($B$20+$B$21)^2*$B$14-($B$20+$B$21)*$D87))^(1/2))/((0.00000036*$B$90*$B$19^3*($B$87*0.0254)*($B$86*0.0254)^4)*($B$20+$B$21)^2)</f>
        <v>10.183461078165521</v>
      </c>
      <c r="F87" s="36">
        <f>D87*E87</f>
        <v>236.2562970134401</v>
      </c>
      <c r="G87" s="36">
        <f>(D87-($B$20+$B$21)*E87)*(E87-$B$14)</f>
        <v>207.21641205786915</v>
      </c>
      <c r="H87" s="9">
        <f>G87/F87*100</f>
        <v>87.708312826930097</v>
      </c>
      <c r="I87" s="37">
        <f>$B$19*(D87-(E87*($B$20+$B$21)))</f>
        <v>8094.8280430837067</v>
      </c>
      <c r="J87" s="38">
        <f>(($B$86*0.0254)^4)*($B$87*0.0254)*(I87^3)*2*$B$90*0.00000018</f>
        <v>207.21641205786776</v>
      </c>
      <c r="K87" s="36">
        <f>$K$85*0.6*((0.6*3.1416*($B$86*0.0254)^2*J87^2)^(1/3))/9.81*1000</f>
        <v>1545.7244422354786</v>
      </c>
      <c r="L87" s="2">
        <f>K87/F87</f>
        <v>6.5425745758960474</v>
      </c>
      <c r="M87" s="38">
        <f>1.30652287/($B$86*0.0254)*POWER(K87*0.00981,3/2)</f>
        <v>253.1067202103896</v>
      </c>
      <c r="N87" s="38">
        <f>POWER(I87/$B$89,3)*100</f>
        <v>270.17556339710922</v>
      </c>
      <c r="O87" s="38">
        <f>0.65*60*O$10/E87</f>
        <v>7.6594783837531146</v>
      </c>
      <c r="P87" s="33">
        <f>($B$20*$B$14+SQRT($B$20^2*$B$14^2+4*$B$20*($R$9-(D87*$B$14))))/(2*$B$20)</f>
        <v>10.142078138181027</v>
      </c>
    </row>
    <row r="88" spans="1:16">
      <c r="A88" s="10"/>
      <c r="B88" s="5"/>
      <c r="D88" s="56">
        <v>23.1</v>
      </c>
      <c r="E88" s="9">
        <f t="shared" si="77"/>
        <v>10.105430988057735</v>
      </c>
      <c r="F88" s="36">
        <f>D88*E88</f>
        <v>233.4354558241337</v>
      </c>
      <c r="G88" s="36">
        <f>(D88-($B$20+$B$21)*E88)*(E88-$B$14)</f>
        <v>204.79178000250508</v>
      </c>
      <c r="H88" s="9">
        <f>G88/F88*100</f>
        <v>87.729509332460495</v>
      </c>
      <c r="I88" s="37">
        <f>$B$19*(D88-(E88*($B$20+$B$21)))</f>
        <v>8063.1316595177968</v>
      </c>
      <c r="J88" s="38">
        <f t="shared" ref="J88:J99" si="78">(($B$86*0.0254)^4)*($B$87*0.0254)*(I88^3)*2*$B$90*0.00000018</f>
        <v>204.79178000250374</v>
      </c>
      <c r="K88" s="63">
        <f t="shared" ref="K88:K99" si="79">$K$85*0.6*((0.6*3.1416*($B$86*0.0254)^2*J88^2)^(1/3))/9.81*1000</f>
        <v>1533.6431593451971</v>
      </c>
      <c r="L88" s="2">
        <f>K88/F88</f>
        <v>6.5698809717261533</v>
      </c>
      <c r="M88" s="38">
        <f t="shared" ref="M88:M90" si="80">1.30652287/($B$86*0.0254)*POWER(K88*0.00981,3/2)</f>
        <v>250.14512724989228</v>
      </c>
      <c r="N88" s="38">
        <f t="shared" ref="N88:N90" si="81">POWER(I88/$B$89,3)*100</f>
        <v>267.01424849409028</v>
      </c>
      <c r="O88" s="38">
        <f>0.65*60*O$10/E88</f>
        <v>7.7186218076376774</v>
      </c>
      <c r="P88" s="34">
        <f>($B$20*$B$14+SQRT($B$20^2*$B$14^2+4*$B$20*($R$9-(D88*$B$14))))/(2*$B$20)</f>
        <v>10.14622648891944</v>
      </c>
    </row>
    <row r="89" spans="1:16">
      <c r="A89" s="4" t="s">
        <v>14</v>
      </c>
      <c r="B89" s="4">
        <v>5812</v>
      </c>
      <c r="D89" s="56">
        <v>22</v>
      </c>
      <c r="E89" s="9">
        <f t="shared" si="77"/>
        <v>9.2636614070788763</v>
      </c>
      <c r="F89" s="36">
        <f>D89*E89</f>
        <v>203.80055095573528</v>
      </c>
      <c r="G89" s="36">
        <f>(D89-($B$20+$B$21)*E89)*(E89-$B$14)</f>
        <v>179.24950526367445</v>
      </c>
      <c r="H89" s="36">
        <f>G89/F89*100</f>
        <v>87.953395819134357</v>
      </c>
      <c r="I89" s="37">
        <f>$B$19*(D89-(E89*($B$20+$B$21)))</f>
        <v>7712.9212922974175</v>
      </c>
      <c r="J89" s="38">
        <f t="shared" si="78"/>
        <v>179.24950526367428</v>
      </c>
      <c r="K89" s="64">
        <f t="shared" si="79"/>
        <v>1403.3132260823772</v>
      </c>
      <c r="L89" s="38">
        <f>K89/F89</f>
        <v>6.8857185100896592</v>
      </c>
      <c r="M89" s="38">
        <f t="shared" si="80"/>
        <v>218.94624043559674</v>
      </c>
      <c r="N89" s="38">
        <f t="shared" si="81"/>
        <v>233.71139183580664</v>
      </c>
      <c r="O89" s="38">
        <f>0.65*60*O$10/E89</f>
        <v>8.4199968643495406</v>
      </c>
      <c r="P89" s="34">
        <f>($B$20*$B$14+SQRT($B$20^2*$B$14^2+4*$B$20*($R$9-(D89*$B$14))))/(2*$B$20)</f>
        <v>10.191745802056912</v>
      </c>
    </row>
    <row r="90" spans="1:16">
      <c r="A90" s="4" t="s">
        <v>110</v>
      </c>
      <c r="B90" s="4">
        <v>1.1000000000000001</v>
      </c>
      <c r="D90" s="56">
        <v>21</v>
      </c>
      <c r="E90" s="9">
        <f t="shared" si="77"/>
        <v>8.5251994527903694</v>
      </c>
      <c r="F90" s="36">
        <f>D90*E90</f>
        <v>179.02918850859777</v>
      </c>
      <c r="G90" s="36">
        <f>(D90-($B$20+$B$21)*E90)*(E90-$B$14)</f>
        <v>157.79543191196598</v>
      </c>
      <c r="H90" s="9">
        <f>G90/F90*100</f>
        <v>88.139500171162283</v>
      </c>
      <c r="I90" s="37">
        <f>$B$19*(D90-(E90*($B$20+$B$21)))</f>
        <v>7392.0413312188211</v>
      </c>
      <c r="J90" s="38">
        <f t="shared" si="78"/>
        <v>157.79543191196726</v>
      </c>
      <c r="K90" s="64">
        <f t="shared" si="79"/>
        <v>1288.9782591337857</v>
      </c>
      <c r="L90" s="2">
        <f>K90/F90</f>
        <v>7.1998218272205561</v>
      </c>
      <c r="M90" s="38">
        <f t="shared" si="80"/>
        <v>192.74093127462535</v>
      </c>
      <c r="N90" s="38">
        <f t="shared" si="81"/>
        <v>205.73886640986862</v>
      </c>
      <c r="O90" s="38">
        <f>0.65*60*O$10/E90</f>
        <v>9.1493460571728846</v>
      </c>
      <c r="P90" s="34">
        <f>($B$20*$B$14+SQRT($B$20^2*$B$14^2+4*$B$20*($R$9-(D90*$B$14))))/(2*$B$20)</f>
        <v>10.232949554136084</v>
      </c>
    </row>
    <row r="91" spans="1:16">
      <c r="D91" s="56">
        <v>20</v>
      </c>
      <c r="E91" s="9">
        <f t="shared" si="77"/>
        <v>7.8128473791335376</v>
      </c>
      <c r="F91" s="36">
        <f t="shared" ref="F91:F98" si="82">D91*E91</f>
        <v>156.25694758267076</v>
      </c>
      <c r="G91" s="36">
        <f t="shared" ref="G91:G98" si="83">(D91-($B$20+$B$21)*E91)*(E91-$B$14)</f>
        <v>137.98222405615707</v>
      </c>
      <c r="H91" s="36">
        <f t="shared" ref="H91:H98" si="84">G91/F91*100</f>
        <v>88.304696969173108</v>
      </c>
      <c r="I91" s="37">
        <f t="shared" ref="I91:I98" si="85">$B$19*(D91-(E91*($B$20+$B$21)))</f>
        <v>7068.717485313101</v>
      </c>
      <c r="J91" s="38">
        <f t="shared" si="78"/>
        <v>137.98222405615564</v>
      </c>
      <c r="K91" s="64">
        <f t="shared" si="79"/>
        <v>1178.6858462012701</v>
      </c>
      <c r="L91" s="38">
        <f t="shared" ref="L91:L98" si="86">K91/F91</f>
        <v>7.5432540084508153</v>
      </c>
      <c r="M91" s="38">
        <f t="shared" ref="M91:M99" si="87">1.30652287/($B$86*0.0254)*POWER(K91*0.00981,3/2)</f>
        <v>168.5398749614277</v>
      </c>
      <c r="N91" s="38">
        <f t="shared" ref="N91:N99" si="88">POWER(I91/$B$89,3)*100</f>
        <v>179.9057553064246</v>
      </c>
      <c r="O91" s="38">
        <f t="shared" ref="O91:O98" si="89">0.65*60*O$10/E91</f>
        <v>9.9835560858799699</v>
      </c>
      <c r="P91" s="34">
        <f t="shared" ref="P91:P98" si="90">($B$20*$B$14+SQRT($B$20^2*$B$14^2+4*$B$20*($R$9-(D91*$B$14))))/(2*$B$20)</f>
        <v>10.273986436004325</v>
      </c>
    </row>
    <row r="92" spans="1:16">
      <c r="D92" s="56">
        <v>19</v>
      </c>
      <c r="E92" s="9">
        <f t="shared" si="77"/>
        <v>7.1272110059790172</v>
      </c>
      <c r="F92" s="36">
        <f t="shared" si="82"/>
        <v>135.41700911360132</v>
      </c>
      <c r="G92" s="36">
        <f t="shared" si="83"/>
        <v>119.76780242818869</v>
      </c>
      <c r="H92" s="9">
        <f t="shared" si="84"/>
        <v>88.443691979428877</v>
      </c>
      <c r="I92" s="37">
        <f t="shared" si="85"/>
        <v>6742.8930498403643</v>
      </c>
      <c r="J92" s="38">
        <f t="shared" si="78"/>
        <v>119.76780242818866</v>
      </c>
      <c r="K92" s="64">
        <f t="shared" si="79"/>
        <v>1072.5297854751582</v>
      </c>
      <c r="L92" s="2">
        <f t="shared" si="86"/>
        <v>7.9201999253684079</v>
      </c>
      <c r="M92" s="38">
        <f t="shared" si="87"/>
        <v>146.29167332044739</v>
      </c>
      <c r="N92" s="38">
        <f t="shared" si="88"/>
        <v>156.15719419383191</v>
      </c>
      <c r="O92" s="38">
        <f t="shared" si="89"/>
        <v>10.943972324457043</v>
      </c>
      <c r="P92" s="34">
        <f t="shared" si="90"/>
        <v>10.314858458800755</v>
      </c>
    </row>
    <row r="93" spans="1:16">
      <c r="D93" s="56">
        <v>18</v>
      </c>
      <c r="E93" s="9">
        <f t="shared" si="77"/>
        <v>6.4689199497845573</v>
      </c>
      <c r="F93" s="36">
        <f t="shared" si="82"/>
        <v>116.44055909612203</v>
      </c>
      <c r="G93" s="36">
        <f t="shared" si="83"/>
        <v>103.10780517769872</v>
      </c>
      <c r="H93" s="36">
        <f t="shared" si="84"/>
        <v>88.549733853976875</v>
      </c>
      <c r="I93" s="37">
        <f t="shared" si="85"/>
        <v>6414.5090927001647</v>
      </c>
      <c r="J93" s="38">
        <f t="shared" si="78"/>
        <v>103.10780517769739</v>
      </c>
      <c r="K93" s="64">
        <f t="shared" si="79"/>
        <v>970.60755953586568</v>
      </c>
      <c r="L93" s="38">
        <f t="shared" si="86"/>
        <v>8.3356483949430906</v>
      </c>
      <c r="M93" s="38">
        <f t="shared" si="87"/>
        <v>125.94214009134971</v>
      </c>
      <c r="N93" s="38">
        <f t="shared" si="88"/>
        <v>134.43534263465727</v>
      </c>
      <c r="O93" s="38">
        <f t="shared" si="89"/>
        <v>12.057654230610433</v>
      </c>
      <c r="P93" s="34">
        <f t="shared" si="90"/>
        <v>10.355567593588695</v>
      </c>
    </row>
    <row r="94" spans="1:16">
      <c r="D94" s="56">
        <v>16.8</v>
      </c>
      <c r="E94" s="9">
        <f t="shared" si="77"/>
        <v>5.7159902307425448</v>
      </c>
      <c r="F94" s="36">
        <f t="shared" si="82"/>
        <v>96.028635876474752</v>
      </c>
      <c r="G94" s="36">
        <f t="shared" si="83"/>
        <v>85.101592771243787</v>
      </c>
      <c r="H94" s="9">
        <f t="shared" si="84"/>
        <v>88.621057661084734</v>
      </c>
      <c r="I94" s="37">
        <f t="shared" si="85"/>
        <v>6016.9833144024979</v>
      </c>
      <c r="J94" s="38">
        <f t="shared" si="78"/>
        <v>85.101592771243844</v>
      </c>
      <c r="K94" s="65">
        <f t="shared" si="79"/>
        <v>854.03257007114382</v>
      </c>
      <c r="L94" s="2">
        <f t="shared" si="86"/>
        <v>8.893519753521419</v>
      </c>
      <c r="M94" s="38">
        <f t="shared" si="87"/>
        <v>103.94825784839141</v>
      </c>
      <c r="N94" s="38">
        <f t="shared" si="88"/>
        <v>110.9582515430354</v>
      </c>
      <c r="O94" s="38">
        <f t="shared" si="89"/>
        <v>13.645929550489678</v>
      </c>
      <c r="P94" s="34">
        <f t="shared" si="90"/>
        <v>10.40420626087554</v>
      </c>
    </row>
    <row r="95" spans="1:16">
      <c r="D95" s="56">
        <v>16</v>
      </c>
      <c r="E95" s="9">
        <f t="shared" si="77"/>
        <v>5.2370193114128023</v>
      </c>
      <c r="F95" s="36">
        <f t="shared" si="82"/>
        <v>83.792308982604837</v>
      </c>
      <c r="G95" s="36">
        <f t="shared" si="83"/>
        <v>74.261356805206091</v>
      </c>
      <c r="H95" s="36">
        <f t="shared" si="84"/>
        <v>88.625504783049536</v>
      </c>
      <c r="I95" s="37">
        <f t="shared" si="85"/>
        <v>5749.8149924517611</v>
      </c>
      <c r="J95" s="38">
        <f t="shared" si="78"/>
        <v>74.261356805205395</v>
      </c>
      <c r="K95" s="64">
        <f t="shared" si="79"/>
        <v>779.87421443361109</v>
      </c>
      <c r="L95" s="38">
        <f t="shared" si="86"/>
        <v>9.3072290751113194</v>
      </c>
      <c r="M95" s="38">
        <f t="shared" si="87"/>
        <v>90.707334774670386</v>
      </c>
      <c r="N95" s="38">
        <f t="shared" si="88"/>
        <v>96.824395877856958</v>
      </c>
      <c r="O95" s="38">
        <f t="shared" si="89"/>
        <v>14.893968374341886</v>
      </c>
      <c r="P95" s="34">
        <f t="shared" si="90"/>
        <v>10.436504889629441</v>
      </c>
    </row>
    <row r="96" spans="1:16">
      <c r="D96" s="56">
        <v>15</v>
      </c>
      <c r="E96" s="9">
        <f t="shared" si="77"/>
        <v>4.6648004051620982</v>
      </c>
      <c r="F96" s="36">
        <f t="shared" si="82"/>
        <v>69.972006077431473</v>
      </c>
      <c r="G96" s="36">
        <f t="shared" si="83"/>
        <v>61.973429420079135</v>
      </c>
      <c r="H96" s="9">
        <f t="shared" si="84"/>
        <v>88.568890466708837</v>
      </c>
      <c r="I96" s="37">
        <f t="shared" si="85"/>
        <v>5413.3746820768274</v>
      </c>
      <c r="J96" s="38">
        <f t="shared" si="78"/>
        <v>61.973429420079853</v>
      </c>
      <c r="K96" s="64">
        <f t="shared" si="79"/>
        <v>691.27841155766657</v>
      </c>
      <c r="L96" s="2">
        <f t="shared" si="86"/>
        <v>9.8793567643707885</v>
      </c>
      <c r="M96" s="38">
        <f t="shared" si="87"/>
        <v>75.698113411625044</v>
      </c>
      <c r="N96" s="38">
        <f t="shared" si="88"/>
        <v>80.802992595707963</v>
      </c>
      <c r="O96" s="38">
        <f t="shared" si="89"/>
        <v>16.720972651623999</v>
      </c>
      <c r="P96" s="34">
        <f t="shared" si="90"/>
        <v>10.476736802418507</v>
      </c>
    </row>
    <row r="97" spans="4:16">
      <c r="D97" s="56">
        <v>14</v>
      </c>
      <c r="E97" s="9">
        <f t="shared" si="77"/>
        <v>4.1227113483065816</v>
      </c>
      <c r="F97" s="36">
        <f t="shared" si="82"/>
        <v>57.717958876292144</v>
      </c>
      <c r="G97" s="36">
        <f t="shared" si="83"/>
        <v>51.036629294261445</v>
      </c>
      <c r="H97" s="36">
        <f t="shared" si="84"/>
        <v>88.424175573583767</v>
      </c>
      <c r="I97" s="37">
        <f t="shared" si="85"/>
        <v>5074.1142177985039</v>
      </c>
      <c r="J97" s="38">
        <f t="shared" si="78"/>
        <v>51.036629294260734</v>
      </c>
      <c r="K97" s="64">
        <f t="shared" si="79"/>
        <v>607.34756848735037</v>
      </c>
      <c r="L97" s="38">
        <f t="shared" si="86"/>
        <v>10.522679254633527</v>
      </c>
      <c r="M97" s="38">
        <f t="shared" si="87"/>
        <v>62.339241004020515</v>
      </c>
      <c r="N97" s="38">
        <f t="shared" si="88"/>
        <v>66.543233407668495</v>
      </c>
      <c r="O97" s="38">
        <f t="shared" si="89"/>
        <v>18.919587962916388</v>
      </c>
      <c r="P97" s="34">
        <f t="shared" si="90"/>
        <v>10.516813332300813</v>
      </c>
    </row>
    <row r="98" spans="4:16">
      <c r="D98" s="56">
        <v>13.3</v>
      </c>
      <c r="E98" s="9">
        <f t="shared" si="77"/>
        <v>3.7615876155375032</v>
      </c>
      <c r="F98" s="36">
        <f t="shared" si="82"/>
        <v>50.029115286648796</v>
      </c>
      <c r="G98" s="36">
        <f t="shared" si="83"/>
        <v>44.153781558746964</v>
      </c>
      <c r="H98" s="9">
        <f t="shared" si="84"/>
        <v>88.256171043125008</v>
      </c>
      <c r="I98" s="37">
        <f t="shared" si="85"/>
        <v>4834.9153991856901</v>
      </c>
      <c r="J98" s="38">
        <f t="shared" si="78"/>
        <v>44.153781558746054</v>
      </c>
      <c r="K98" s="66">
        <f t="shared" si="79"/>
        <v>551.43531761141651</v>
      </c>
      <c r="L98" s="2">
        <f t="shared" si="86"/>
        <v>11.02228801072917</v>
      </c>
      <c r="M98" s="38">
        <f t="shared" si="87"/>
        <v>53.932112443387339</v>
      </c>
      <c r="N98" s="38">
        <f t="shared" si="88"/>
        <v>57.569150485125235</v>
      </c>
      <c r="O98" s="38">
        <f t="shared" si="89"/>
        <v>20.735925351789096</v>
      </c>
      <c r="P98" s="34">
        <f t="shared" si="90"/>
        <v>10.544775408467784</v>
      </c>
    </row>
    <row r="99" spans="4:16">
      <c r="D99" s="60">
        <v>11.2</v>
      </c>
      <c r="E99" s="17">
        <f t="shared" si="77"/>
        <v>2.7718415990305982</v>
      </c>
      <c r="F99" s="61">
        <f>D99*E99</f>
        <v>31.044625909142699</v>
      </c>
      <c r="G99" s="61">
        <f>(D99-($B$20+$B$21)*E99)*(E99-$B$14)</f>
        <v>27.093728901868207</v>
      </c>
      <c r="H99" s="61">
        <f>G99/F99*100</f>
        <v>87.273491332002337</v>
      </c>
      <c r="I99" s="62">
        <f>$B$19*(D99-(E99*($B$20+$B$21)))</f>
        <v>4108.5556263307362</v>
      </c>
      <c r="J99" s="38">
        <f t="shared" si="78"/>
        <v>27.093728901868339</v>
      </c>
      <c r="K99" s="36">
        <f t="shared" si="79"/>
        <v>398.19441274469301</v>
      </c>
      <c r="L99" s="38">
        <f>K99/F99</f>
        <v>12.826516702442339</v>
      </c>
      <c r="M99" s="38">
        <f t="shared" si="87"/>
        <v>33.093927225736685</v>
      </c>
      <c r="N99" s="38">
        <f t="shared" si="88"/>
        <v>35.325693548571827</v>
      </c>
      <c r="O99" s="38">
        <f>0.65*60*O$10/E99</f>
        <v>28.140136156149435</v>
      </c>
      <c r="P99" s="34">
        <f>($B$20*$B$14+SQRT($B$20^2*$B$14^2+4*$B$20*($R$9-(D99*$B$14))))/(2*$B$20)</f>
        <v>10.628216056546965</v>
      </c>
    </row>
  </sheetData>
  <mergeCells count="5">
    <mergeCell ref="O9:P9"/>
    <mergeCell ref="O49:P49"/>
    <mergeCell ref="O30:P30"/>
    <mergeCell ref="O67:P67"/>
    <mergeCell ref="O83:P83"/>
  </mergeCells>
  <phoneticPr fontId="1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7:R100"/>
  <sheetViews>
    <sheetView workbookViewId="0">
      <selection activeCell="A173" sqref="A173"/>
    </sheetView>
  </sheetViews>
  <sheetFormatPr baseColWidth="10" defaultRowHeight="15"/>
  <sheetData>
    <row r="7" spans="1:18" ht="16">
      <c r="F7" t="s">
        <v>289</v>
      </c>
      <c r="H7" s="82" t="s">
        <v>229</v>
      </c>
      <c r="I7" s="83"/>
      <c r="J7" s="83"/>
      <c r="K7" s="83"/>
      <c r="L7" s="83"/>
      <c r="M7" s="83"/>
      <c r="N7" s="84"/>
    </row>
    <row r="8" spans="1:18" ht="17">
      <c r="F8" t="s">
        <v>290</v>
      </c>
      <c r="H8" s="85" t="s">
        <v>282</v>
      </c>
      <c r="I8" s="86"/>
      <c r="J8" s="86"/>
      <c r="K8" s="86"/>
      <c r="L8" s="86"/>
      <c r="M8" s="86"/>
      <c r="N8" s="87"/>
      <c r="R8" s="7" t="s">
        <v>16</v>
      </c>
    </row>
    <row r="9" spans="1:18">
      <c r="O9" s="186" t="s">
        <v>135</v>
      </c>
      <c r="P9" s="186"/>
      <c r="R9" s="7">
        <f>($B$20*$B$17^2+$B$14*(($B$18/$B$17)-$B$17*$B$20))/2</f>
        <v>32.746000000000002</v>
      </c>
    </row>
    <row r="10" spans="1:18" ht="16">
      <c r="D10" s="2"/>
      <c r="E10" s="2"/>
      <c r="F10" s="2"/>
      <c r="G10" s="2"/>
      <c r="H10" s="2"/>
      <c r="I10" s="2"/>
      <c r="J10" s="2"/>
      <c r="K10" s="4" t="s">
        <v>111</v>
      </c>
      <c r="L10" s="2"/>
      <c r="M10" s="2"/>
      <c r="N10" s="2"/>
      <c r="O10" s="89">
        <v>2</v>
      </c>
      <c r="P10" s="89" t="s">
        <v>394</v>
      </c>
      <c r="R10" t="s">
        <v>13</v>
      </c>
    </row>
    <row r="11" spans="1:18" ht="16">
      <c r="D11" s="2"/>
      <c r="E11" s="2"/>
      <c r="F11" s="2"/>
      <c r="G11" s="2"/>
      <c r="H11" s="2"/>
      <c r="I11" s="2"/>
      <c r="J11" s="2"/>
      <c r="K11" s="4">
        <v>1.34</v>
      </c>
      <c r="M11" s="2" t="s">
        <v>113</v>
      </c>
      <c r="N11" s="2" t="s">
        <v>113</v>
      </c>
      <c r="O11" s="89" t="s">
        <v>116</v>
      </c>
      <c r="R11" s="31" t="s">
        <v>22</v>
      </c>
    </row>
    <row r="12" spans="1:18">
      <c r="A12" s="5" t="s">
        <v>249</v>
      </c>
      <c r="B12" s="5">
        <v>13</v>
      </c>
      <c r="D12" s="11" t="s">
        <v>425</v>
      </c>
      <c r="E12" s="12" t="s">
        <v>426</v>
      </c>
      <c r="F12" s="12" t="s">
        <v>427</v>
      </c>
      <c r="G12" s="12" t="s">
        <v>302</v>
      </c>
      <c r="H12" s="12" t="s">
        <v>48</v>
      </c>
      <c r="I12" s="13" t="s">
        <v>43</v>
      </c>
      <c r="J12" s="2" t="s">
        <v>303</v>
      </c>
      <c r="K12" s="2" t="s">
        <v>428</v>
      </c>
      <c r="L12" s="9" t="s">
        <v>112</v>
      </c>
      <c r="M12" s="9" t="s">
        <v>123</v>
      </c>
      <c r="N12" s="9" t="s">
        <v>252</v>
      </c>
      <c r="O12" s="89" t="s">
        <v>118</v>
      </c>
      <c r="P12" t="s">
        <v>383</v>
      </c>
    </row>
    <row r="13" spans="1:18">
      <c r="A13" s="5" t="s">
        <v>109</v>
      </c>
      <c r="B13" s="5">
        <v>4</v>
      </c>
      <c r="D13" s="35">
        <v>23.3</v>
      </c>
      <c r="E13" s="9">
        <f t="shared" ref="E13:E25" si="0">(0.5+(0.00000036*$B$16*$B$19^3*($B$13*0.0254)*($B$12*0.0254)^4)*($B$20+$B$21)*$D13-(0.25-(0.00000036*$B$16*$B$19^3*($B$13*0.0254)*($B$12*0.0254)^4)*(($B$20+$B$21)^2*$B$14-($B$20+$B$21)*$D13))^(1/2))/((0.00000036*$B$16*$B$19^3*($B$13*0.0254)*($B$12*0.0254)^4)*($B$20+$B$21)^2)</f>
        <v>12.117181381136113</v>
      </c>
      <c r="F13" s="36">
        <f t="shared" ref="F13:F25" si="1">D13*E13</f>
        <v>282.33032618047145</v>
      </c>
      <c r="G13" s="36">
        <f t="shared" ref="G13:G25" si="2">(D13-($B$20+$B$21)*E13)*(E13-$B$14)</f>
        <v>249.64985222398568</v>
      </c>
      <c r="H13" s="9">
        <f t="shared" ref="H13:H25" si="3">G13/F13*100</f>
        <v>88.424738355738754</v>
      </c>
      <c r="I13" s="37">
        <f t="shared" ref="I13:I25" si="4">$B$19*(D13-(E13*($B$20+$B$21)))</f>
        <v>8128.6116355979102</v>
      </c>
      <c r="J13" s="38">
        <f t="shared" ref="J13:J25" si="5">(($B$12*0.0254)^4)*($B$13*0.0254)*(I13^3)*2*$B$16*0.00000018</f>
        <v>249.64985222399065</v>
      </c>
      <c r="K13" s="36">
        <f t="shared" ref="K13:K25" si="6">$K$11*0.6*((0.6*3.1416*($B$12*0.0254)^2*J13^2)^(1/3))/9.81*1000</f>
        <v>1917.6087781507599</v>
      </c>
      <c r="L13" s="2">
        <f t="shared" ref="L13:L25" si="7">K13/F13</f>
        <v>6.7920750990277403</v>
      </c>
      <c r="M13" s="38">
        <f t="shared" ref="M13:M25" si="8">1.30652287/($B$12*0.0254)*POWER(K13*0.00981,3/2)</f>
        <v>322.83712567778491</v>
      </c>
      <c r="N13" s="38">
        <f t="shared" ref="N13:N25" si="9">POWER(I13/$B$15,3)*100</f>
        <v>290.01773515265813</v>
      </c>
      <c r="O13" s="38">
        <f t="shared" ref="O13:O25" si="10">0.65*60*O$10/E13</f>
        <v>6.4371405813425797</v>
      </c>
      <c r="P13" s="33">
        <f t="shared" ref="P13:P25" si="11">($B$20*$B$14+SQRT($B$20^2*$B$14^2+4*$B$20*($R$9-(D13*$B$14))))/(2*$B$20)</f>
        <v>12.137853526691526</v>
      </c>
    </row>
    <row r="14" spans="1:18">
      <c r="A14" s="10" t="s">
        <v>63</v>
      </c>
      <c r="B14" s="5">
        <v>0.6</v>
      </c>
      <c r="D14" s="56">
        <v>22.2</v>
      </c>
      <c r="E14" s="9">
        <f t="shared" si="0"/>
        <v>11.113969789845836</v>
      </c>
      <c r="F14" s="36">
        <f t="shared" si="1"/>
        <v>246.73012933457755</v>
      </c>
      <c r="G14" s="36">
        <f t="shared" si="2"/>
        <v>217.75196902407396</v>
      </c>
      <c r="H14" s="36">
        <f t="shared" si="3"/>
        <v>88.255118907181426</v>
      </c>
      <c r="I14" s="37">
        <f t="shared" si="4"/>
        <v>7766.5230180602466</v>
      </c>
      <c r="J14" s="38">
        <f t="shared" si="5"/>
        <v>217.75196902407569</v>
      </c>
      <c r="K14" s="121">
        <f t="shared" si="6"/>
        <v>1750.5742156012805</v>
      </c>
      <c r="L14" s="38">
        <f t="shared" si="7"/>
        <v>7.0950970614027451</v>
      </c>
      <c r="M14" s="38">
        <f t="shared" si="8"/>
        <v>281.58806890595531</v>
      </c>
      <c r="N14" s="38">
        <f t="shared" si="9"/>
        <v>252.96202789150092</v>
      </c>
      <c r="O14" s="38">
        <f t="shared" si="10"/>
        <v>7.0181943513346505</v>
      </c>
      <c r="P14" s="34">
        <f t="shared" si="11"/>
        <v>12.344091881654315</v>
      </c>
    </row>
    <row r="15" spans="1:18">
      <c r="A15" s="4" t="s">
        <v>14</v>
      </c>
      <c r="B15" s="4">
        <v>5700</v>
      </c>
      <c r="D15" s="56">
        <v>21.35</v>
      </c>
      <c r="E15" s="9">
        <f t="shared" si="0"/>
        <v>10.366436332648243</v>
      </c>
      <c r="F15" s="36">
        <f t="shared" si="1"/>
        <v>221.32341570204002</v>
      </c>
      <c r="G15" s="36">
        <f t="shared" si="2"/>
        <v>194.94683488317909</v>
      </c>
      <c r="H15" s="9">
        <f t="shared" si="3"/>
        <v>88.082336098422232</v>
      </c>
      <c r="I15" s="37">
        <f t="shared" si="4"/>
        <v>7485.3365742844262</v>
      </c>
      <c r="J15" s="38">
        <f t="shared" si="5"/>
        <v>194.94683488318165</v>
      </c>
      <c r="K15" s="65">
        <f t="shared" si="6"/>
        <v>1626.1100197146684</v>
      </c>
      <c r="L15" s="2">
        <f t="shared" si="7"/>
        <v>7.3472118372863155</v>
      </c>
      <c r="M15" s="38">
        <f t="shared" si="8"/>
        <v>252.09738869462922</v>
      </c>
      <c r="N15" s="38">
        <f t="shared" si="9"/>
        <v>226.46934906763954</v>
      </c>
      <c r="O15" s="38">
        <f t="shared" si="10"/>
        <v>7.5242829355296745</v>
      </c>
      <c r="P15" s="34">
        <f t="shared" si="11"/>
        <v>12.501070420376445</v>
      </c>
    </row>
    <row r="16" spans="1:18">
      <c r="A16" s="4" t="s">
        <v>110</v>
      </c>
      <c r="B16" s="4">
        <v>1.069</v>
      </c>
      <c r="D16" s="56">
        <v>20</v>
      </c>
      <c r="E16" s="9">
        <f t="shared" si="0"/>
        <v>9.2296123497189217</v>
      </c>
      <c r="F16" s="36">
        <f t="shared" si="1"/>
        <v>184.59224699437843</v>
      </c>
      <c r="G16" s="36">
        <f t="shared" si="2"/>
        <v>161.9194181144006</v>
      </c>
      <c r="H16" s="36">
        <f t="shared" si="3"/>
        <v>87.71734498650514</v>
      </c>
      <c r="I16" s="37">
        <f t="shared" si="4"/>
        <v>7036.2119794266246</v>
      </c>
      <c r="J16" s="38">
        <f t="shared" si="5"/>
        <v>161.91941811440228</v>
      </c>
      <c r="K16" s="64">
        <f t="shared" si="6"/>
        <v>1436.8290162524686</v>
      </c>
      <c r="L16" s="38">
        <f t="shared" si="7"/>
        <v>7.7837993721167811</v>
      </c>
      <c r="M16" s="38">
        <f t="shared" si="8"/>
        <v>209.38766464228553</v>
      </c>
      <c r="N16" s="38">
        <f t="shared" si="9"/>
        <v>188.10146491351523</v>
      </c>
      <c r="O16" s="38">
        <f t="shared" si="10"/>
        <v>8.4510591609381525</v>
      </c>
      <c r="P16" s="34">
        <f t="shared" si="11"/>
        <v>12.746320561611293</v>
      </c>
    </row>
    <row r="17" spans="1:16">
      <c r="A17" s="5" t="s">
        <v>383</v>
      </c>
      <c r="B17" s="5">
        <v>20</v>
      </c>
      <c r="D17" s="56">
        <v>19</v>
      </c>
      <c r="E17" s="9">
        <f t="shared" si="0"/>
        <v>8.4280931882011387</v>
      </c>
      <c r="F17" s="36">
        <f t="shared" si="1"/>
        <v>160.13377057582164</v>
      </c>
      <c r="G17" s="36">
        <f t="shared" si="2"/>
        <v>139.89300012642667</v>
      </c>
      <c r="H17" s="9">
        <f t="shared" si="3"/>
        <v>87.360086272488545</v>
      </c>
      <c r="I17" s="37">
        <f t="shared" si="4"/>
        <v>6701.4883172928921</v>
      </c>
      <c r="J17" s="38">
        <f t="shared" si="5"/>
        <v>139.89300012642829</v>
      </c>
      <c r="K17" s="64">
        <f t="shared" si="6"/>
        <v>1303.3762096048331</v>
      </c>
      <c r="L17" s="2">
        <f t="shared" si="7"/>
        <v>8.1392963203080164</v>
      </c>
      <c r="M17" s="38">
        <f t="shared" si="8"/>
        <v>180.90398877038913</v>
      </c>
      <c r="N17" s="38">
        <f t="shared" si="9"/>
        <v>162.51341909057399</v>
      </c>
      <c r="O17" s="38">
        <f t="shared" si="10"/>
        <v>9.2547624068983545</v>
      </c>
      <c r="P17" s="34">
        <f t="shared" si="11"/>
        <v>12.924916136857567</v>
      </c>
    </row>
    <row r="18" spans="1:16" ht="17">
      <c r="A18" s="5" t="s">
        <v>17</v>
      </c>
      <c r="B18" s="5">
        <v>450</v>
      </c>
      <c r="D18" s="56">
        <v>18</v>
      </c>
      <c r="E18" s="9">
        <f t="shared" si="0"/>
        <v>7.6617139227351831</v>
      </c>
      <c r="F18" s="36">
        <f t="shared" si="1"/>
        <v>137.91085060923331</v>
      </c>
      <c r="G18" s="36">
        <f t="shared" si="2"/>
        <v>119.86080313728743</v>
      </c>
      <c r="H18" s="36">
        <f t="shared" si="3"/>
        <v>86.911800346232212</v>
      </c>
      <c r="I18" s="37">
        <f t="shared" si="4"/>
        <v>6364.9988753825564</v>
      </c>
      <c r="J18" s="38">
        <f t="shared" si="5"/>
        <v>119.86080313728803</v>
      </c>
      <c r="K18" s="64">
        <f t="shared" si="6"/>
        <v>1175.7741897862172</v>
      </c>
      <c r="L18" s="38">
        <f t="shared" si="7"/>
        <v>8.5256104548128828</v>
      </c>
      <c r="M18" s="38">
        <f t="shared" si="8"/>
        <v>154.99915910847224</v>
      </c>
      <c r="N18" s="38">
        <f t="shared" si="9"/>
        <v>139.24205582251247</v>
      </c>
      <c r="O18" s="38">
        <f t="shared" si="10"/>
        <v>10.180489742451059</v>
      </c>
      <c r="P18" s="34">
        <f t="shared" si="11"/>
        <v>13.101020248518674</v>
      </c>
    </row>
    <row r="19" spans="1:16">
      <c r="A19" s="5" t="s">
        <v>157</v>
      </c>
      <c r="B19" s="5">
        <v>375</v>
      </c>
      <c r="D19" s="56">
        <v>17.5</v>
      </c>
      <c r="E19" s="9">
        <f t="shared" si="0"/>
        <v>7.2918768105117993</v>
      </c>
      <c r="F19" s="36">
        <f t="shared" si="1"/>
        <v>127.60784418395649</v>
      </c>
      <c r="G19" s="36">
        <f t="shared" si="2"/>
        <v>110.56913444528455</v>
      </c>
      <c r="H19" s="9">
        <f t="shared" si="3"/>
        <v>86.647600037730172</v>
      </c>
      <c r="I19" s="37">
        <f t="shared" si="4"/>
        <v>6196.0831902717819</v>
      </c>
      <c r="J19" s="38">
        <f t="shared" si="5"/>
        <v>110.56913444528595</v>
      </c>
      <c r="K19" s="64">
        <f t="shared" si="6"/>
        <v>1114.196372313708</v>
      </c>
      <c r="L19" s="2">
        <f t="shared" si="7"/>
        <v>8.7314097298557023</v>
      </c>
      <c r="M19" s="38">
        <f t="shared" si="8"/>
        <v>142.98354769691474</v>
      </c>
      <c r="N19" s="38">
        <f t="shared" si="9"/>
        <v>128.44794284452635</v>
      </c>
      <c r="O19" s="38">
        <f t="shared" si="10"/>
        <v>10.696834577287019</v>
      </c>
      <c r="P19" s="34">
        <f t="shared" si="11"/>
        <v>13.188169977663017</v>
      </c>
    </row>
    <row r="20" spans="1:16">
      <c r="A20" s="5" t="s">
        <v>158</v>
      </c>
      <c r="B20" s="5">
        <v>0.13400000000000001</v>
      </c>
      <c r="D20" s="56">
        <v>17</v>
      </c>
      <c r="E20" s="9">
        <f t="shared" si="0"/>
        <v>6.9310366156339223</v>
      </c>
      <c r="F20" s="36">
        <f t="shared" si="1"/>
        <v>117.82762246577668</v>
      </c>
      <c r="G20" s="36">
        <f t="shared" si="2"/>
        <v>101.74761582166107</v>
      </c>
      <c r="H20" s="36">
        <f t="shared" si="3"/>
        <v>86.352939737211372</v>
      </c>
      <c r="I20" s="37">
        <f t="shared" si="4"/>
        <v>6026.7154100643957</v>
      </c>
      <c r="J20" s="38">
        <f t="shared" si="5"/>
        <v>101.74761582165793</v>
      </c>
      <c r="K20" s="64">
        <f t="shared" si="6"/>
        <v>1054.116540077905</v>
      </c>
      <c r="L20" s="38">
        <f t="shared" si="7"/>
        <v>8.9462599517704415</v>
      </c>
      <c r="M20" s="38">
        <f t="shared" si="8"/>
        <v>131.57591540234429</v>
      </c>
      <c r="N20" s="38">
        <f t="shared" si="9"/>
        <v>118.20000226278647</v>
      </c>
      <c r="O20" s="38">
        <f t="shared" si="10"/>
        <v>11.253727880193289</v>
      </c>
      <c r="P20" s="34">
        <f t="shared" si="11"/>
        <v>13.274734345769227</v>
      </c>
    </row>
    <row r="21" spans="1:16">
      <c r="A21" s="5" t="s">
        <v>250</v>
      </c>
      <c r="B21" s="5">
        <v>0</v>
      </c>
      <c r="D21" s="56">
        <v>16.52</v>
      </c>
      <c r="E21" s="9">
        <f t="shared" si="0"/>
        <v>6.5931617371900115</v>
      </c>
      <c r="F21" s="36">
        <f t="shared" si="1"/>
        <v>108.91903189837899</v>
      </c>
      <c r="G21" s="36">
        <f t="shared" si="2"/>
        <v>93.712171355221059</v>
      </c>
      <c r="H21" s="9">
        <f t="shared" si="3"/>
        <v>86.038380732812726</v>
      </c>
      <c r="I21" s="37">
        <f t="shared" si="4"/>
        <v>5863.6936227062024</v>
      </c>
      <c r="J21" s="38">
        <f t="shared" si="5"/>
        <v>93.712171355222694</v>
      </c>
      <c r="K21" s="65">
        <f t="shared" si="6"/>
        <v>997.86042919635861</v>
      </c>
      <c r="L21" s="2">
        <f t="shared" si="7"/>
        <v>9.1614882340063239</v>
      </c>
      <c r="M21" s="38">
        <f t="shared" si="8"/>
        <v>121.18480252173309</v>
      </c>
      <c r="N21" s="38">
        <f t="shared" si="9"/>
        <v>108.8652424608475</v>
      </c>
      <c r="O21" s="38">
        <f t="shared" si="10"/>
        <v>11.830439341420343</v>
      </c>
      <c r="P21" s="34">
        <f t="shared" si="11"/>
        <v>13.357296239062162</v>
      </c>
    </row>
    <row r="22" spans="1:16">
      <c r="D22" s="56">
        <v>15.5</v>
      </c>
      <c r="E22" s="9">
        <f t="shared" si="0"/>
        <v>5.9032287515521569</v>
      </c>
      <c r="F22" s="36">
        <f t="shared" si="1"/>
        <v>91.500045649058436</v>
      </c>
      <c r="G22" s="36">
        <f t="shared" si="2"/>
        <v>78.005018541800865</v>
      </c>
      <c r="H22" s="9">
        <f t="shared" si="3"/>
        <v>85.251343852858028</v>
      </c>
      <c r="I22" s="37">
        <f t="shared" si="4"/>
        <v>5515.8627552345042</v>
      </c>
      <c r="J22" s="38">
        <f t="shared" si="5"/>
        <v>78.005018541801633</v>
      </c>
      <c r="K22" s="64">
        <f t="shared" si="6"/>
        <v>882.98670221295345</v>
      </c>
      <c r="L22" s="2">
        <f t="shared" si="7"/>
        <v>9.6501230786220891</v>
      </c>
      <c r="M22" s="38">
        <f t="shared" si="8"/>
        <v>100.87294564822319</v>
      </c>
      <c r="N22" s="38">
        <f t="shared" si="9"/>
        <v>90.618274381099027</v>
      </c>
      <c r="O22" s="38">
        <f t="shared" si="10"/>
        <v>13.213108162120802</v>
      </c>
      <c r="P22" s="34">
        <f t="shared" si="11"/>
        <v>13.531029788105359</v>
      </c>
    </row>
    <row r="23" spans="1:16">
      <c r="D23" s="56">
        <v>14.5</v>
      </c>
      <c r="E23" s="9">
        <f t="shared" si="0"/>
        <v>5.2643661827704618</v>
      </c>
      <c r="F23" s="36">
        <f t="shared" si="1"/>
        <v>76.333309650171699</v>
      </c>
      <c r="G23" s="36">
        <f t="shared" si="2"/>
        <v>64.342948816222616</v>
      </c>
      <c r="H23" s="36">
        <f t="shared" si="3"/>
        <v>84.292098837454105</v>
      </c>
      <c r="I23" s="37">
        <f t="shared" si="4"/>
        <v>5172.9655993157849</v>
      </c>
      <c r="J23" s="38">
        <f t="shared" si="5"/>
        <v>64.342948816223583</v>
      </c>
      <c r="K23" s="64">
        <f t="shared" si="6"/>
        <v>776.61619111427228</v>
      </c>
      <c r="L23" s="38">
        <f t="shared" si="7"/>
        <v>10.174014393892135</v>
      </c>
      <c r="M23" s="38">
        <f t="shared" si="8"/>
        <v>83.205707787982803</v>
      </c>
      <c r="N23" s="38">
        <f t="shared" si="9"/>
        <v>74.747075243537182</v>
      </c>
      <c r="O23" s="38">
        <f t="shared" si="10"/>
        <v>14.816598483457163</v>
      </c>
      <c r="P23" s="34">
        <f t="shared" si="11"/>
        <v>13.699170168112273</v>
      </c>
    </row>
    <row r="24" spans="1:16">
      <c r="D24" s="56">
        <v>13.71</v>
      </c>
      <c r="E24" s="9">
        <f t="shared" si="0"/>
        <v>4.7863546427080514</v>
      </c>
      <c r="F24" s="36">
        <f t="shared" si="1"/>
        <v>65.620922151527395</v>
      </c>
      <c r="G24" s="36">
        <f t="shared" si="2"/>
        <v>54.709913502187547</v>
      </c>
      <c r="H24" s="9">
        <f t="shared" si="3"/>
        <v>83.372667905908287</v>
      </c>
      <c r="I24" s="37">
        <f t="shared" si="4"/>
        <v>4900.7356792039209</v>
      </c>
      <c r="J24" s="38">
        <f t="shared" si="5"/>
        <v>54.709913502190261</v>
      </c>
      <c r="K24" s="66">
        <f t="shared" si="6"/>
        <v>697.02734945704924</v>
      </c>
      <c r="L24" s="2">
        <f t="shared" si="7"/>
        <v>10.622029173066492</v>
      </c>
      <c r="M24" s="38">
        <f t="shared" si="8"/>
        <v>70.748654821074382</v>
      </c>
      <c r="N24" s="38">
        <f t="shared" si="9"/>
        <v>63.556397341933966</v>
      </c>
      <c r="O24" s="38">
        <f t="shared" si="10"/>
        <v>16.296326917361206</v>
      </c>
      <c r="P24" s="34">
        <f t="shared" si="11"/>
        <v>13.830523811991377</v>
      </c>
    </row>
    <row r="25" spans="1:16">
      <c r="D25" s="60">
        <v>10.31</v>
      </c>
      <c r="E25" s="17">
        <f t="shared" si="0"/>
        <v>3.0059057497368484</v>
      </c>
      <c r="F25" s="61">
        <f t="shared" si="1"/>
        <v>30.990888279786908</v>
      </c>
      <c r="G25" s="61">
        <f t="shared" si="2"/>
        <v>23.835810205641408</v>
      </c>
      <c r="H25" s="61">
        <f t="shared" si="3"/>
        <v>76.912316905700848</v>
      </c>
      <c r="I25" s="62">
        <f t="shared" si="4"/>
        <v>3715.203236075723</v>
      </c>
      <c r="J25" s="38">
        <f t="shared" si="5"/>
        <v>23.835810205641394</v>
      </c>
      <c r="K25" s="38">
        <f t="shared" si="6"/>
        <v>400.58290587098173</v>
      </c>
      <c r="L25" s="38">
        <f t="shared" si="7"/>
        <v>12.925828464628188</v>
      </c>
      <c r="M25" s="38">
        <f t="shared" si="8"/>
        <v>30.823508952395876</v>
      </c>
      <c r="N25" s="38">
        <f t="shared" si="9"/>
        <v>27.69001315156569</v>
      </c>
      <c r="O25" s="38">
        <f t="shared" si="10"/>
        <v>25.948917395972412</v>
      </c>
      <c r="P25" s="34">
        <f t="shared" si="11"/>
        <v>14.381866183992823</v>
      </c>
    </row>
    <row r="26" spans="1:16">
      <c r="D26" s="36"/>
      <c r="E26" s="9"/>
      <c r="F26" s="36"/>
      <c r="G26" s="36"/>
      <c r="H26" s="36"/>
      <c r="I26" s="36"/>
      <c r="J26" s="38"/>
      <c r="K26" s="38"/>
      <c r="L26" s="38"/>
      <c r="M26" s="38"/>
      <c r="N26" s="38"/>
      <c r="O26" s="38"/>
      <c r="P26" s="92"/>
    </row>
    <row r="27" spans="1:16">
      <c r="D27" s="36"/>
      <c r="E27" s="9"/>
      <c r="F27" s="9"/>
      <c r="G27" s="36"/>
      <c r="H27" s="9"/>
      <c r="I27" s="36"/>
      <c r="J27" s="36"/>
      <c r="K27" s="36"/>
      <c r="L27" s="9"/>
      <c r="M27" s="36"/>
      <c r="N27" s="36"/>
      <c r="O27" s="36"/>
      <c r="P27" s="88"/>
    </row>
    <row r="28" spans="1:16">
      <c r="D28" s="36"/>
      <c r="E28" s="9"/>
      <c r="F28" s="9"/>
      <c r="G28" s="36"/>
      <c r="H28" s="9"/>
      <c r="I28" s="36"/>
      <c r="J28" s="36"/>
      <c r="K28" s="36"/>
      <c r="L28" s="9"/>
      <c r="M28" s="36"/>
      <c r="N28" s="36"/>
      <c r="O28" s="36"/>
      <c r="P28" s="88"/>
    </row>
    <row r="29" spans="1:16">
      <c r="D29" s="36"/>
      <c r="E29" s="9"/>
      <c r="F29" s="9"/>
      <c r="G29" s="36"/>
      <c r="H29" s="9"/>
      <c r="I29" s="36"/>
      <c r="J29" s="36"/>
      <c r="K29" s="36"/>
      <c r="L29" s="9"/>
      <c r="M29" s="36"/>
      <c r="N29" s="36"/>
      <c r="O29" s="36"/>
      <c r="P29" s="88"/>
    </row>
    <row r="30" spans="1:16">
      <c r="H30" s="57" t="s">
        <v>380</v>
      </c>
      <c r="I30" s="90"/>
      <c r="J30" s="90"/>
      <c r="K30" s="91"/>
    </row>
    <row r="31" spans="1:16">
      <c r="O31" s="186" t="s">
        <v>407</v>
      </c>
      <c r="P31" s="186"/>
    </row>
    <row r="32" spans="1:16">
      <c r="D32" s="2"/>
      <c r="E32" s="2"/>
      <c r="F32" s="2"/>
      <c r="G32" s="2"/>
      <c r="H32" s="2"/>
      <c r="I32" s="2"/>
      <c r="J32" s="2"/>
      <c r="K32" s="4" t="s">
        <v>111</v>
      </c>
      <c r="L32" s="2"/>
      <c r="M32" s="2"/>
      <c r="N32" s="2"/>
      <c r="O32" s="89">
        <v>1.25</v>
      </c>
      <c r="P32" s="89" t="s">
        <v>394</v>
      </c>
    </row>
    <row r="33" spans="1:16">
      <c r="D33" s="2"/>
      <c r="E33" s="2"/>
      <c r="F33" s="2"/>
      <c r="G33" s="2"/>
      <c r="H33" s="2"/>
      <c r="I33" s="2"/>
      <c r="J33" s="2"/>
      <c r="K33" s="4">
        <v>1.34</v>
      </c>
      <c r="M33" s="2" t="s">
        <v>113</v>
      </c>
      <c r="N33" s="2" t="s">
        <v>113</v>
      </c>
      <c r="O33" s="89" t="s">
        <v>116</v>
      </c>
    </row>
    <row r="34" spans="1:16">
      <c r="A34" s="5" t="s">
        <v>249</v>
      </c>
      <c r="B34" s="5">
        <v>13</v>
      </c>
      <c r="D34" s="11" t="s">
        <v>425</v>
      </c>
      <c r="E34" s="12" t="s">
        <v>426</v>
      </c>
      <c r="F34" s="12" t="s">
        <v>427</v>
      </c>
      <c r="G34" s="12" t="s">
        <v>302</v>
      </c>
      <c r="H34" s="12" t="s">
        <v>48</v>
      </c>
      <c r="I34" s="13" t="s">
        <v>43</v>
      </c>
      <c r="J34" s="2" t="s">
        <v>303</v>
      </c>
      <c r="K34" s="2" t="s">
        <v>428</v>
      </c>
      <c r="L34" s="9" t="s">
        <v>112</v>
      </c>
      <c r="M34" s="9" t="s">
        <v>123</v>
      </c>
      <c r="N34" s="9" t="s">
        <v>252</v>
      </c>
      <c r="O34" s="89" t="s">
        <v>118</v>
      </c>
      <c r="P34" t="s">
        <v>383</v>
      </c>
    </row>
    <row r="35" spans="1:16">
      <c r="A35" s="5" t="s">
        <v>109</v>
      </c>
      <c r="B35" s="5">
        <v>6.5</v>
      </c>
      <c r="D35" s="35">
        <v>19.399999999999999</v>
      </c>
      <c r="E35" s="9">
        <f t="shared" ref="E35:E44" si="12">(0.5+(0.00000036*$B$38*$B$19^3*($B$35*0.0254)*($B$34*0.0254)^4)*($B$20+$B$21)*$D35-(0.25-(0.00000036*$B$38*$B$19^3*($B$35*0.0254)*($B$34*0.0254)^4)*(($B$20+$B$21)^2*$B$14-($B$20+$B$21)*$D35))^(1/2))/((0.00000036*$B$38*$B$19^3*($B$35*0.0254)*($B$34*0.0254)^4)*($B$20+$B$21)^2)</f>
        <v>12.928534936489443</v>
      </c>
      <c r="F35" s="36">
        <f t="shared" ref="F35:F44" si="13">D35*E35</f>
        <v>250.81357776789517</v>
      </c>
      <c r="G35" s="36">
        <f t="shared" ref="G35:G44" si="14">(D35-($B$20+$B$21)*E35)*(E35-$B$14)</f>
        <v>217.81533188584916</v>
      </c>
      <c r="H35" s="9">
        <f t="shared" ref="H35:H44" si="15">G35/F35*100</f>
        <v>86.843516935680881</v>
      </c>
      <c r="I35" s="37">
        <f t="shared" ref="I35:I44" si="16">$B$19*(D35-(E35*($B$20+$B$21)))</f>
        <v>6625.3411194414048</v>
      </c>
      <c r="J35" s="38">
        <f t="shared" ref="J35:J44" si="17">(($B$34*0.0254)^4)*($B$35*0.0254)*(I35^3)*2*$B$38*0.00000018</f>
        <v>217.81533188585013</v>
      </c>
      <c r="K35" s="36">
        <f t="shared" ref="K35:K44" si="18">$K$33*0.6*((0.6*3.1416*($B$34*0.0254)^2*J35^2)^(1/3))/9.81*1000</f>
        <v>1750.9137946609046</v>
      </c>
      <c r="L35" s="2">
        <f t="shared" ref="L35:L44" si="19">K35/F35</f>
        <v>6.9809370379510067</v>
      </c>
      <c r="M35" s="38">
        <f t="shared" ref="M35:M44" si="20">1.30652287/($B$34*0.0254)*POWER(K35*0.00981,3/2)</f>
        <v>281.67000720468764</v>
      </c>
      <c r="N35" s="38">
        <f t="shared" ref="N35:N44" si="21">POWER(I35/$B$37,3)*100</f>
        <v>251.78963459329333</v>
      </c>
      <c r="O35" s="38">
        <f t="shared" ref="O35:O44" si="22">0.65*60*O$10/E35</f>
        <v>6.03316620043723</v>
      </c>
      <c r="P35" s="33">
        <f t="shared" ref="P35:P44" si="23">($B$20*$B$14+SQRT($B$20^2*$B$14^2+4*$B$20*($R$9-(D35*$B$14))))/(2*$B$20)</f>
        <v>12.853782803863032</v>
      </c>
    </row>
    <row r="36" spans="1:16">
      <c r="A36" s="10"/>
      <c r="B36" s="5"/>
      <c r="D36" s="56">
        <v>19.3</v>
      </c>
      <c r="E36" s="9">
        <f t="shared" si="12"/>
        <v>12.81119777641341</v>
      </c>
      <c r="F36" s="36">
        <f t="shared" si="13"/>
        <v>247.25611708477882</v>
      </c>
      <c r="G36" s="36">
        <f t="shared" si="14"/>
        <v>214.71314773150755</v>
      </c>
      <c r="H36" s="36">
        <f t="shared" si="15"/>
        <v>86.8383562206823</v>
      </c>
      <c r="I36" s="37">
        <f t="shared" si="16"/>
        <v>6593.7373117352263</v>
      </c>
      <c r="J36" s="38">
        <f t="shared" si="17"/>
        <v>214.71314773151005</v>
      </c>
      <c r="K36" s="63">
        <f t="shared" si="18"/>
        <v>1734.2494259210928</v>
      </c>
      <c r="L36" s="38">
        <f t="shared" si="19"/>
        <v>7.0139798617255478</v>
      </c>
      <c r="M36" s="38">
        <f t="shared" si="20"/>
        <v>277.65838770325973</v>
      </c>
      <c r="N36" s="38">
        <f t="shared" si="21"/>
        <v>248.2035793422711</v>
      </c>
      <c r="O36" s="38">
        <f t="shared" si="22"/>
        <v>6.0884236869409003</v>
      </c>
      <c r="P36" s="34">
        <f t="shared" si="23"/>
        <v>12.871603870652185</v>
      </c>
    </row>
    <row r="37" spans="1:16">
      <c r="A37" s="4" t="s">
        <v>14</v>
      </c>
      <c r="B37" s="4">
        <v>4870</v>
      </c>
      <c r="D37" s="56">
        <v>18</v>
      </c>
      <c r="E37" s="9">
        <f t="shared" si="12"/>
        <v>11.329285242362396</v>
      </c>
      <c r="F37" s="36">
        <f t="shared" si="13"/>
        <v>203.92713436252313</v>
      </c>
      <c r="G37" s="36">
        <f t="shared" si="14"/>
        <v>176.83874654623247</v>
      </c>
      <c r="H37" s="9">
        <f t="shared" si="15"/>
        <v>86.716633908984676</v>
      </c>
      <c r="I37" s="37">
        <f t="shared" si="16"/>
        <v>6180.7034165712894</v>
      </c>
      <c r="J37" s="38">
        <f t="shared" si="17"/>
        <v>176.83874654623179</v>
      </c>
      <c r="K37" s="64">
        <f t="shared" si="18"/>
        <v>1523.7863731968437</v>
      </c>
      <c r="L37" s="2">
        <f t="shared" si="19"/>
        <v>7.4722100026570999</v>
      </c>
      <c r="M37" s="38">
        <f t="shared" si="20"/>
        <v>228.68073878219423</v>
      </c>
      <c r="N37" s="38">
        <f t="shared" si="21"/>
        <v>204.4216216980833</v>
      </c>
      <c r="O37" s="38">
        <f t="shared" si="22"/>
        <v>6.8848120893225344</v>
      </c>
      <c r="P37" s="34">
        <f t="shared" si="23"/>
        <v>13.101020248518674</v>
      </c>
    </row>
    <row r="38" spans="1:16">
      <c r="A38" s="4" t="s">
        <v>110</v>
      </c>
      <c r="B38" s="4">
        <v>1.06</v>
      </c>
      <c r="D38" s="56">
        <v>17</v>
      </c>
      <c r="E38" s="9">
        <f t="shared" si="12"/>
        <v>10.245304133944021</v>
      </c>
      <c r="F38" s="36">
        <f t="shared" si="13"/>
        <v>174.17017027704836</v>
      </c>
      <c r="G38" s="36">
        <f t="shared" si="14"/>
        <v>150.72841431861806</v>
      </c>
      <c r="H38" s="36">
        <f t="shared" si="15"/>
        <v>86.540889337627647</v>
      </c>
      <c r="I38" s="37">
        <f t="shared" si="16"/>
        <v>5860.1734672693128</v>
      </c>
      <c r="J38" s="38">
        <f t="shared" si="17"/>
        <v>150.72841431861968</v>
      </c>
      <c r="K38" s="64">
        <f t="shared" si="18"/>
        <v>1369.8380341883048</v>
      </c>
      <c r="L38" s="38">
        <f t="shared" si="19"/>
        <v>7.8649405464169666</v>
      </c>
      <c r="M38" s="38">
        <f t="shared" si="20"/>
        <v>194.91590963544462</v>
      </c>
      <c r="N38" s="38">
        <f t="shared" si="21"/>
        <v>174.23866371354012</v>
      </c>
      <c r="O38" s="38">
        <f t="shared" si="22"/>
        <v>7.6132439779484811</v>
      </c>
      <c r="P38" s="34">
        <f t="shared" si="23"/>
        <v>13.274734345769227</v>
      </c>
    </row>
    <row r="39" spans="1:16">
      <c r="A39" s="5"/>
      <c r="B39" s="5"/>
      <c r="D39" s="56">
        <v>16</v>
      </c>
      <c r="E39" s="9">
        <f t="shared" si="12"/>
        <v>9.2112321688434342</v>
      </c>
      <c r="F39" s="36">
        <f t="shared" si="13"/>
        <v>147.37971470149495</v>
      </c>
      <c r="G39" s="36">
        <f t="shared" si="14"/>
        <v>127.15082682671293</v>
      </c>
      <c r="H39" s="9">
        <f t="shared" si="15"/>
        <v>86.274306531428763</v>
      </c>
      <c r="I39" s="37">
        <f t="shared" si="16"/>
        <v>5537.1355835156173</v>
      </c>
      <c r="J39" s="38">
        <f t="shared" si="17"/>
        <v>127.15082682671083</v>
      </c>
      <c r="K39" s="64">
        <f t="shared" si="18"/>
        <v>1222.9778535022526</v>
      </c>
      <c r="L39" s="2">
        <f t="shared" si="19"/>
        <v>8.2981423595458175</v>
      </c>
      <c r="M39" s="38">
        <f t="shared" si="20"/>
        <v>164.42632388766305</v>
      </c>
      <c r="N39" s="38">
        <f t="shared" si="21"/>
        <v>146.9835017936698</v>
      </c>
      <c r="O39" s="38">
        <f t="shared" si="22"/>
        <v>8.4679224853143307</v>
      </c>
      <c r="P39" s="34">
        <f t="shared" si="23"/>
        <v>13.446153174354164</v>
      </c>
    </row>
    <row r="40" spans="1:16">
      <c r="A40" s="5"/>
      <c r="B40" s="5"/>
      <c r="D40" s="56">
        <v>13.1</v>
      </c>
      <c r="E40" s="9">
        <f t="shared" si="12"/>
        <v>6.5058658452998896</v>
      </c>
      <c r="F40" s="36">
        <f t="shared" si="13"/>
        <v>85.226842573428556</v>
      </c>
      <c r="G40" s="36">
        <f t="shared" si="14"/>
        <v>72.218191274187348</v>
      </c>
      <c r="H40" s="9">
        <f t="shared" si="15"/>
        <v>84.736438771583735</v>
      </c>
      <c r="I40" s="37">
        <f t="shared" si="16"/>
        <v>4585.5802412736803</v>
      </c>
      <c r="J40" s="38">
        <f t="shared" si="17"/>
        <v>72.218191274187873</v>
      </c>
      <c r="K40" s="65">
        <f t="shared" si="18"/>
        <v>838.75837893328742</v>
      </c>
      <c r="L40" s="2">
        <f t="shared" si="19"/>
        <v>9.8414813174692188</v>
      </c>
      <c r="M40" s="38">
        <f t="shared" si="20"/>
        <v>93.389653888875102</v>
      </c>
      <c r="N40" s="38">
        <f t="shared" si="21"/>
        <v>83.482608108807796</v>
      </c>
      <c r="O40" s="38">
        <f t="shared" si="22"/>
        <v>11.989180511053801</v>
      </c>
      <c r="P40" s="34">
        <f t="shared" si="23"/>
        <v>13.931082785694164</v>
      </c>
    </row>
    <row r="41" spans="1:16">
      <c r="A41" s="5"/>
      <c r="B41" s="5"/>
      <c r="D41" s="56">
        <v>13</v>
      </c>
      <c r="E41" s="9">
        <f t="shared" si="12"/>
        <v>6.4206160393004934</v>
      </c>
      <c r="F41" s="36">
        <f t="shared" si="13"/>
        <v>83.468008510906415</v>
      </c>
      <c r="G41" s="36">
        <f t="shared" si="14"/>
        <v>70.66016845703372</v>
      </c>
      <c r="H41" s="36">
        <f t="shared" si="15"/>
        <v>84.655390391638321</v>
      </c>
      <c r="I41" s="37">
        <f t="shared" si="16"/>
        <v>4552.3640440251502</v>
      </c>
      <c r="J41" s="38">
        <f t="shared" si="17"/>
        <v>70.660168457033734</v>
      </c>
      <c r="K41" s="64">
        <f t="shared" si="18"/>
        <v>826.65109594422836</v>
      </c>
      <c r="L41" s="38">
        <f t="shared" si="19"/>
        <v>9.9038075867859394</v>
      </c>
      <c r="M41" s="38">
        <f t="shared" si="20"/>
        <v>91.3748815845873</v>
      </c>
      <c r="N41" s="38">
        <f t="shared" si="21"/>
        <v>81.68156870344194</v>
      </c>
      <c r="O41" s="38">
        <f t="shared" si="22"/>
        <v>12.148366998207521</v>
      </c>
      <c r="P41" s="34">
        <f t="shared" si="23"/>
        <v>13.947497173638748</v>
      </c>
    </row>
    <row r="42" spans="1:16">
      <c r="A42" s="5"/>
      <c r="B42" s="5"/>
      <c r="D42" s="56">
        <v>12</v>
      </c>
      <c r="E42" s="9">
        <f t="shared" si="12"/>
        <v>5.5985771582834172</v>
      </c>
      <c r="F42" s="36">
        <f t="shared" si="13"/>
        <v>67.182925899400999</v>
      </c>
      <c r="G42" s="36">
        <f t="shared" si="14"/>
        <v>56.232946632495121</v>
      </c>
      <c r="H42" s="9">
        <f t="shared" si="15"/>
        <v>83.701246826757341</v>
      </c>
      <c r="I42" s="37">
        <f t="shared" si="16"/>
        <v>4218.6714977962583</v>
      </c>
      <c r="J42" s="38">
        <f t="shared" si="17"/>
        <v>56.232946632493878</v>
      </c>
      <c r="K42" s="64">
        <f t="shared" si="18"/>
        <v>709.90411636106887</v>
      </c>
      <c r="L42" s="2">
        <f t="shared" si="19"/>
        <v>10.56673413456377</v>
      </c>
      <c r="M42" s="38">
        <f t="shared" si="20"/>
        <v>72.718179872737949</v>
      </c>
      <c r="N42" s="38">
        <f t="shared" si="21"/>
        <v>65.004024106622566</v>
      </c>
      <c r="O42" s="38">
        <f t="shared" si="22"/>
        <v>13.932111283774042</v>
      </c>
      <c r="P42" s="34">
        <f t="shared" si="23"/>
        <v>14.110568092760563</v>
      </c>
    </row>
    <row r="43" spans="1:16">
      <c r="A43" s="5"/>
      <c r="B43" s="5"/>
      <c r="D43" s="56">
        <v>10.4</v>
      </c>
      <c r="E43" s="9">
        <f t="shared" si="12"/>
        <v>4.4011682131105037</v>
      </c>
      <c r="F43" s="36">
        <f t="shared" si="13"/>
        <v>45.772149416349237</v>
      </c>
      <c r="G43" s="36">
        <f t="shared" si="14"/>
        <v>37.290385600910689</v>
      </c>
      <c r="H43" s="9">
        <f t="shared" si="15"/>
        <v>81.469596854000997</v>
      </c>
      <c r="I43" s="37">
        <f t="shared" si="16"/>
        <v>3678.8412972911974</v>
      </c>
      <c r="J43" s="38">
        <f t="shared" si="17"/>
        <v>37.290385600909687</v>
      </c>
      <c r="K43" s="66">
        <f t="shared" si="18"/>
        <v>539.84661555062871</v>
      </c>
      <c r="L43" s="2">
        <f t="shared" si="19"/>
        <v>11.794215968319859</v>
      </c>
      <c r="M43" s="38">
        <f t="shared" si="20"/>
        <v>48.222423508637078</v>
      </c>
      <c r="N43" s="38">
        <f t="shared" si="21"/>
        <v>43.106848737428173</v>
      </c>
      <c r="O43" s="38">
        <f t="shared" si="22"/>
        <v>17.722567332838636</v>
      </c>
      <c r="P43" s="34">
        <f t="shared" si="23"/>
        <v>14.367550254015578</v>
      </c>
    </row>
    <row r="44" spans="1:16">
      <c r="D44" s="60">
        <v>9</v>
      </c>
      <c r="E44" s="17">
        <f t="shared" si="12"/>
        <v>3.4765825066070106</v>
      </c>
      <c r="F44" s="61">
        <f t="shared" si="13"/>
        <v>31.289242559463094</v>
      </c>
      <c r="G44" s="61">
        <f t="shared" si="14"/>
        <v>24.549151919011351</v>
      </c>
      <c r="H44" s="17">
        <f t="shared" si="15"/>
        <v>78.458760618309455</v>
      </c>
      <c r="I44" s="62">
        <f t="shared" si="16"/>
        <v>3200.301729042998</v>
      </c>
      <c r="J44" s="38">
        <f t="shared" si="17"/>
        <v>24.54915191901015</v>
      </c>
      <c r="K44" s="36">
        <f t="shared" si="18"/>
        <v>408.53580885681259</v>
      </c>
      <c r="L44" s="2">
        <f t="shared" si="19"/>
        <v>13.056749714551826</v>
      </c>
      <c r="M44" s="38">
        <f t="shared" si="20"/>
        <v>31.745973701797805</v>
      </c>
      <c r="N44" s="38">
        <f t="shared" si="21"/>
        <v>28.378268589936471</v>
      </c>
      <c r="O44" s="38">
        <f t="shared" si="22"/>
        <v>22.435825944520591</v>
      </c>
      <c r="P44" s="34">
        <f t="shared" si="23"/>
        <v>14.588618787890999</v>
      </c>
    </row>
    <row r="46" spans="1:16">
      <c r="D46" s="36"/>
      <c r="E46" s="9"/>
      <c r="F46" s="9"/>
      <c r="G46" s="36"/>
      <c r="H46" s="9"/>
      <c r="I46" s="36"/>
      <c r="J46" s="36"/>
      <c r="K46" s="36"/>
      <c r="L46" s="9"/>
      <c r="M46" s="36"/>
      <c r="N46" s="36"/>
      <c r="O46" s="36"/>
      <c r="P46" s="88"/>
    </row>
    <row r="47" spans="1:16">
      <c r="D47" s="36"/>
      <c r="E47" s="9"/>
      <c r="F47" s="9"/>
      <c r="G47" s="36"/>
      <c r="H47" s="9"/>
      <c r="I47" s="36"/>
      <c r="J47" s="36"/>
      <c r="K47" s="36"/>
      <c r="L47" s="9"/>
      <c r="M47" s="36"/>
      <c r="N47" s="36"/>
      <c r="O47" s="36"/>
      <c r="P47" s="88"/>
    </row>
    <row r="49" spans="1:16">
      <c r="H49" s="57" t="s">
        <v>281</v>
      </c>
      <c r="I49" s="90"/>
      <c r="J49" s="90"/>
      <c r="K49" s="91"/>
    </row>
    <row r="50" spans="1:16">
      <c r="O50" s="186" t="s">
        <v>407</v>
      </c>
      <c r="P50" s="186"/>
    </row>
    <row r="51" spans="1:16">
      <c r="D51" s="2"/>
      <c r="E51" s="2"/>
      <c r="F51" s="2"/>
      <c r="G51" s="2"/>
      <c r="H51" s="2"/>
      <c r="I51" s="2"/>
      <c r="J51" s="2"/>
      <c r="K51" s="4" t="s">
        <v>111</v>
      </c>
      <c r="L51" s="2"/>
      <c r="M51" s="2"/>
      <c r="N51" s="2"/>
      <c r="O51" s="89">
        <v>1.25</v>
      </c>
      <c r="P51" s="89" t="s">
        <v>394</v>
      </c>
    </row>
    <row r="52" spans="1:16">
      <c r="D52" s="2"/>
      <c r="E52" s="2"/>
      <c r="F52" s="2"/>
      <c r="G52" s="2"/>
      <c r="H52" s="2"/>
      <c r="I52" s="2"/>
      <c r="J52" s="2"/>
      <c r="K52" s="4">
        <v>1.165</v>
      </c>
      <c r="M52" s="2" t="s">
        <v>113</v>
      </c>
      <c r="N52" s="2" t="s">
        <v>113</v>
      </c>
      <c r="O52" s="89" t="s">
        <v>116</v>
      </c>
    </row>
    <row r="53" spans="1:16">
      <c r="A53" s="5" t="s">
        <v>249</v>
      </c>
      <c r="B53" s="5">
        <v>14</v>
      </c>
      <c r="D53" s="11" t="s">
        <v>425</v>
      </c>
      <c r="E53" s="12" t="s">
        <v>426</v>
      </c>
      <c r="F53" s="12" t="s">
        <v>427</v>
      </c>
      <c r="G53" s="12" t="s">
        <v>302</v>
      </c>
      <c r="H53" s="12" t="s">
        <v>48</v>
      </c>
      <c r="I53" s="13" t="s">
        <v>43</v>
      </c>
      <c r="J53" s="2" t="s">
        <v>303</v>
      </c>
      <c r="K53" s="2" t="s">
        <v>428</v>
      </c>
      <c r="L53" s="9" t="s">
        <v>112</v>
      </c>
      <c r="M53" s="9" t="s">
        <v>123</v>
      </c>
      <c r="N53" s="9" t="s">
        <v>252</v>
      </c>
      <c r="O53" s="89" t="s">
        <v>118</v>
      </c>
      <c r="P53" t="s">
        <v>383</v>
      </c>
    </row>
    <row r="54" spans="1:16">
      <c r="A54" s="5" t="s">
        <v>109</v>
      </c>
      <c r="B54" s="5">
        <v>4.7</v>
      </c>
      <c r="D54" s="35">
        <v>20.6</v>
      </c>
      <c r="E54" s="9">
        <f t="shared" ref="E54:E63" si="24">(0.5+(0.00000036*$B$57*$B$19^3*($B$54*0.0254)*($B$53*0.0254)^4)*($B$20+$B$21)*$D54-(0.25-(0.00000036*$B$57*$B$19^3*($B$54*0.0254)*($B$53*0.0254)^4)*(($B$20+$B$21)^2*$B$14-($B$20+$B$21)*$D54))^(1/2))/((0.00000036*$B$57*$B$19^3*($B$54*0.0254)*($B$53*0.0254)^4)*($B$20+$B$21)^2)</f>
        <v>12.723085516104698</v>
      </c>
      <c r="F54" s="36">
        <f t="shared" ref="F54:F63" si="25">D54*E54</f>
        <v>262.09556163175677</v>
      </c>
      <c r="G54" s="36">
        <f t="shared" ref="G54:G63" si="26">(D54-($B$20+$B$21)*E54)*(E54-$B$14)</f>
        <v>229.06699243053646</v>
      </c>
      <c r="H54" s="9">
        <f t="shared" ref="H54:H63" si="27">G54/F54*100</f>
        <v>87.398272219647382</v>
      </c>
      <c r="I54" s="37">
        <f t="shared" ref="I54:I63" si="28">$B$19*(D54-(E54*($B$20+$B$21)))</f>
        <v>7085.6649528157395</v>
      </c>
      <c r="J54" s="38">
        <f t="shared" ref="J54:J63" si="29">(($B$53*0.0254)^4)*($B$54*0.0254)*(I54^3)*2*$B$57*0.00000018</f>
        <v>229.06699243053637</v>
      </c>
      <c r="K54" s="36">
        <f>$K$52*0.6*((0.6*3.1416*($B$53*0.0254)^2*J54^2)^(1/3))/9.81*1000</f>
        <v>1653.960214789098</v>
      </c>
      <c r="L54" s="2">
        <f t="shared" ref="L54:L63" si="30">K54/F54</f>
        <v>6.310523552905126</v>
      </c>
      <c r="M54" s="38">
        <f t="shared" ref="M54:M63" si="31">1.30652287/($B$53*0.0254)*POWER(K54*0.00981,3/2)</f>
        <v>240.12996794763691</v>
      </c>
      <c r="N54" s="38">
        <f t="shared" ref="N54:N63" si="32">POWER(I54/$B$56,3)*100</f>
        <v>253.00657493298448</v>
      </c>
      <c r="O54" s="38">
        <f t="shared" ref="O54:O63" si="33">0.65*60*O$10/E54</f>
        <v>6.1305883624902719</v>
      </c>
      <c r="P54" s="33">
        <f t="shared" ref="P54:P63" si="34">($B$20*$B$14+SQRT($B$20^2*$B$14^2+4*$B$20*($R$9-(D54*$B$14))))/(2*$B$20)</f>
        <v>12.637922367976262</v>
      </c>
    </row>
    <row r="55" spans="1:16">
      <c r="A55" s="10"/>
      <c r="B55" s="5"/>
      <c r="D55" s="56">
        <v>20.5</v>
      </c>
      <c r="E55" s="9">
        <f t="shared" si="24"/>
        <v>12.613803886951541</v>
      </c>
      <c r="F55" s="36">
        <f t="shared" si="25"/>
        <v>258.58297968250656</v>
      </c>
      <c r="G55" s="36">
        <f t="shared" si="26"/>
        <v>225.97665101622198</v>
      </c>
      <c r="H55" s="36">
        <f t="shared" si="27"/>
        <v>87.390380949929764</v>
      </c>
      <c r="I55" s="37">
        <f t="shared" si="28"/>
        <v>7053.6563546806847</v>
      </c>
      <c r="J55" s="38">
        <f t="shared" si="29"/>
        <v>225.976651016224</v>
      </c>
      <c r="K55" s="63">
        <f t="shared" ref="K55:K63" si="35">$K$52*0.6*((0.6*3.1416*($B$53*0.0254)^2*J55^2)^(1/3))/9.81*1000</f>
        <v>1639.0508530934833</v>
      </c>
      <c r="L55" s="38">
        <f t="shared" si="30"/>
        <v>6.3385875400845917</v>
      </c>
      <c r="M55" s="38">
        <f t="shared" si="31"/>
        <v>236.89037599729903</v>
      </c>
      <c r="N55" s="38">
        <f t="shared" si="32"/>
        <v>249.5932647554134</v>
      </c>
      <c r="O55" s="38">
        <f t="shared" si="33"/>
        <v>6.1837016572524792</v>
      </c>
      <c r="P55" s="34">
        <f t="shared" si="34"/>
        <v>12.656054772953979</v>
      </c>
    </row>
    <row r="56" spans="1:16">
      <c r="A56" s="4" t="s">
        <v>14</v>
      </c>
      <c r="B56" s="4">
        <v>5200</v>
      </c>
      <c r="D56" s="56">
        <v>18</v>
      </c>
      <c r="E56" s="9">
        <f t="shared" si="24"/>
        <v>10.021390793665429</v>
      </c>
      <c r="F56" s="36">
        <f t="shared" si="25"/>
        <v>180.38503428597772</v>
      </c>
      <c r="G56" s="36">
        <f t="shared" si="26"/>
        <v>156.93336546491389</v>
      </c>
      <c r="H56" s="9">
        <f t="shared" si="27"/>
        <v>86.999105045552625</v>
      </c>
      <c r="I56" s="37">
        <f t="shared" si="28"/>
        <v>6246.4251126183126</v>
      </c>
      <c r="J56" s="38">
        <f t="shared" si="29"/>
        <v>156.9333654649146</v>
      </c>
      <c r="K56" s="64">
        <f t="shared" si="35"/>
        <v>1285.3662972188511</v>
      </c>
      <c r="L56" s="2">
        <f t="shared" si="30"/>
        <v>7.1256814752218576</v>
      </c>
      <c r="M56" s="38">
        <f t="shared" si="31"/>
        <v>164.51258917380852</v>
      </c>
      <c r="N56" s="38">
        <f t="shared" si="32"/>
        <v>173.33432838877818</v>
      </c>
      <c r="O56" s="38">
        <f t="shared" si="33"/>
        <v>7.7833507949120389</v>
      </c>
      <c r="P56" s="34">
        <f t="shared" si="34"/>
        <v>13.101020248518674</v>
      </c>
    </row>
    <row r="57" spans="1:16">
      <c r="A57" s="4" t="s">
        <v>110</v>
      </c>
      <c r="B57" s="4">
        <v>0.93700000000000006</v>
      </c>
      <c r="D57" s="56">
        <v>17</v>
      </c>
      <c r="E57" s="9">
        <f t="shared" si="24"/>
        <v>9.0614668847772322</v>
      </c>
      <c r="F57" s="36">
        <f t="shared" si="25"/>
        <v>154.04493704121296</v>
      </c>
      <c r="G57" s="36">
        <f t="shared" si="26"/>
        <v>133.57071457682451</v>
      </c>
      <c r="H57" s="36">
        <f t="shared" si="27"/>
        <v>86.708928668709959</v>
      </c>
      <c r="I57" s="37">
        <f t="shared" si="28"/>
        <v>5919.6612890399438</v>
      </c>
      <c r="J57" s="38">
        <f t="shared" si="29"/>
        <v>133.57071457682409</v>
      </c>
      <c r="K57" s="64">
        <f t="shared" si="35"/>
        <v>1154.4032719711197</v>
      </c>
      <c r="L57" s="38">
        <f t="shared" si="30"/>
        <v>7.4939384191657812</v>
      </c>
      <c r="M57" s="38">
        <f t="shared" si="31"/>
        <v>140.02162018083928</v>
      </c>
      <c r="N57" s="38">
        <f t="shared" si="32"/>
        <v>147.53006815978296</v>
      </c>
      <c r="O57" s="38">
        <f t="shared" si="33"/>
        <v>8.6078778405112004</v>
      </c>
      <c r="P57" s="34">
        <f t="shared" si="34"/>
        <v>13.274734345769227</v>
      </c>
    </row>
    <row r="58" spans="1:16">
      <c r="A58" s="5"/>
      <c r="B58" s="5"/>
      <c r="D58" s="56">
        <v>16</v>
      </c>
      <c r="E58" s="9">
        <f t="shared" si="24"/>
        <v>8.1469463233728039</v>
      </c>
      <c r="F58" s="36">
        <f t="shared" si="25"/>
        <v>130.35114117396486</v>
      </c>
      <c r="G58" s="36">
        <f t="shared" si="26"/>
        <v>112.51220924931107</v>
      </c>
      <c r="H58" s="9">
        <f t="shared" si="27"/>
        <v>86.31470981842331</v>
      </c>
      <c r="I58" s="37">
        <f t="shared" si="28"/>
        <v>5590.6159472505169</v>
      </c>
      <c r="J58" s="38">
        <f t="shared" si="29"/>
        <v>112.51220924931167</v>
      </c>
      <c r="K58" s="64">
        <f t="shared" si="35"/>
        <v>1029.6346541006897</v>
      </c>
      <c r="L58" s="2">
        <f t="shared" si="30"/>
        <v>7.8989308787604182</v>
      </c>
      <c r="M58" s="38">
        <f t="shared" si="31"/>
        <v>117.94607732036287</v>
      </c>
      <c r="N58" s="38">
        <f t="shared" si="32"/>
        <v>124.27075764284936</v>
      </c>
      <c r="O58" s="38">
        <f t="shared" si="33"/>
        <v>9.574139426477565</v>
      </c>
      <c r="P58" s="34">
        <f t="shared" si="34"/>
        <v>13.446153174354164</v>
      </c>
    </row>
    <row r="59" spans="1:16">
      <c r="A59" s="5"/>
      <c r="B59" s="5"/>
      <c r="D59" s="56">
        <v>14.35</v>
      </c>
      <c r="E59" s="9">
        <f t="shared" si="24"/>
        <v>6.7398309854796841</v>
      </c>
      <c r="F59" s="36">
        <f t="shared" si="25"/>
        <v>96.716574641633457</v>
      </c>
      <c r="G59" s="36">
        <f t="shared" si="26"/>
        <v>82.561463943346538</v>
      </c>
      <c r="H59" s="9">
        <f t="shared" si="27"/>
        <v>85.364338273210933</v>
      </c>
      <c r="I59" s="37">
        <f t="shared" si="28"/>
        <v>5042.5734929796454</v>
      </c>
      <c r="J59" s="38">
        <f t="shared" si="29"/>
        <v>82.561463943346624</v>
      </c>
      <c r="K59" s="65">
        <f t="shared" si="35"/>
        <v>837.66101971502837</v>
      </c>
      <c r="L59" s="2">
        <f t="shared" si="30"/>
        <v>8.6609872487609945</v>
      </c>
      <c r="M59" s="38">
        <f t="shared" si="31"/>
        <v>86.54883656552046</v>
      </c>
      <c r="N59" s="38">
        <f t="shared" si="32"/>
        <v>91.189887255771268</v>
      </c>
      <c r="O59" s="38">
        <f t="shared" si="33"/>
        <v>11.572990504961249</v>
      </c>
      <c r="P59" s="34">
        <f t="shared" si="34"/>
        <v>13.7242095851143</v>
      </c>
    </row>
    <row r="60" spans="1:16">
      <c r="A60" s="5"/>
      <c r="B60" s="5"/>
      <c r="D60" s="56">
        <v>13</v>
      </c>
      <c r="E60" s="9">
        <f t="shared" si="24"/>
        <v>5.6856250367079992</v>
      </c>
      <c r="F60" s="36">
        <f t="shared" si="25"/>
        <v>73.913125477203991</v>
      </c>
      <c r="G60" s="36">
        <f t="shared" si="26"/>
        <v>62.238521234377842</v>
      </c>
      <c r="H60" s="36">
        <f t="shared" si="27"/>
        <v>84.204964723854374</v>
      </c>
      <c r="I60" s="37">
        <f t="shared" si="28"/>
        <v>4589.2973419054233</v>
      </c>
      <c r="J60" s="38">
        <f t="shared" si="29"/>
        <v>62.238521234377792</v>
      </c>
      <c r="K60" s="64">
        <f t="shared" si="35"/>
        <v>693.83503621057264</v>
      </c>
      <c r="L60" s="38">
        <f t="shared" si="30"/>
        <v>9.3871694875704126</v>
      </c>
      <c r="M60" s="38">
        <f t="shared" si="31"/>
        <v>65.244380914686218</v>
      </c>
      <c r="N60" s="38">
        <f t="shared" si="32"/>
        <v>68.743012335916916</v>
      </c>
      <c r="O60" s="38">
        <f t="shared" si="33"/>
        <v>13.718808309800593</v>
      </c>
      <c r="P60" s="34">
        <f t="shared" si="34"/>
        <v>13.947497173638748</v>
      </c>
    </row>
    <row r="61" spans="1:16">
      <c r="A61" s="5"/>
      <c r="B61" s="5"/>
      <c r="D61" s="56">
        <v>12</v>
      </c>
      <c r="E61" s="9">
        <f t="shared" si="24"/>
        <v>4.9627185741053008</v>
      </c>
      <c r="F61" s="36">
        <f t="shared" si="25"/>
        <v>59.55262288926361</v>
      </c>
      <c r="G61" s="36">
        <f t="shared" si="26"/>
        <v>49.451396326088535</v>
      </c>
      <c r="H61" s="9">
        <f t="shared" si="27"/>
        <v>83.03815000397546</v>
      </c>
      <c r="I61" s="37">
        <f t="shared" si="28"/>
        <v>4250.6233916512092</v>
      </c>
      <c r="J61" s="38">
        <f t="shared" si="29"/>
        <v>49.451396326087554</v>
      </c>
      <c r="K61" s="64">
        <f t="shared" si="35"/>
        <v>595.20845087711348</v>
      </c>
      <c r="L61" s="2">
        <f t="shared" si="30"/>
        <v>9.9946639123500312</v>
      </c>
      <c r="M61" s="38">
        <f t="shared" si="31"/>
        <v>51.839691475192645</v>
      </c>
      <c r="N61" s="38">
        <f t="shared" si="32"/>
        <v>54.619516663497677</v>
      </c>
      <c r="O61" s="38">
        <f t="shared" si="33"/>
        <v>15.717191864755732</v>
      </c>
      <c r="P61" s="34">
        <f t="shared" si="34"/>
        <v>14.110568092760563</v>
      </c>
    </row>
    <row r="62" spans="1:16">
      <c r="A62" s="5"/>
      <c r="B62" s="5"/>
      <c r="D62" s="56">
        <v>11.4</v>
      </c>
      <c r="E62" s="9">
        <f t="shared" si="24"/>
        <v>4.5531851870189435</v>
      </c>
      <c r="F62" s="36">
        <f t="shared" si="25"/>
        <v>51.906311132015958</v>
      </c>
      <c r="G62" s="36">
        <f t="shared" si="26"/>
        <v>42.654366844515586</v>
      </c>
      <c r="H62" s="9">
        <f t="shared" si="27"/>
        <v>82.175685218759938</v>
      </c>
      <c r="I62" s="37">
        <f t="shared" si="28"/>
        <v>4046.2024443522978</v>
      </c>
      <c r="J62" s="38">
        <f t="shared" si="29"/>
        <v>42.654366844516169</v>
      </c>
      <c r="K62" s="66">
        <f t="shared" si="35"/>
        <v>539.33555218571939</v>
      </c>
      <c r="L62" s="2">
        <f t="shared" si="30"/>
        <v>10.390558304442015</v>
      </c>
      <c r="M62" s="38">
        <f t="shared" si="31"/>
        <v>44.714393961873157</v>
      </c>
      <c r="N62" s="38">
        <f t="shared" si="32"/>
        <v>47.112135828729947</v>
      </c>
      <c r="O62" s="38">
        <f t="shared" si="33"/>
        <v>17.130864833342759</v>
      </c>
      <c r="P62" s="34">
        <f t="shared" si="34"/>
        <v>14.207492880061281</v>
      </c>
    </row>
    <row r="63" spans="1:16">
      <c r="D63" s="60">
        <v>9.6999999999999993</v>
      </c>
      <c r="E63" s="17">
        <f t="shared" si="24"/>
        <v>3.4939330121637342</v>
      </c>
      <c r="F63" s="61">
        <f t="shared" si="25"/>
        <v>33.891150217988219</v>
      </c>
      <c r="G63" s="61">
        <f t="shared" si="26"/>
        <v>26.716248334438852</v>
      </c>
      <c r="H63" s="17">
        <f t="shared" si="27"/>
        <v>78.829571031374485</v>
      </c>
      <c r="I63" s="62">
        <f t="shared" si="28"/>
        <v>3461.929866138772</v>
      </c>
      <c r="J63" s="38">
        <f t="shared" si="29"/>
        <v>26.716248334438827</v>
      </c>
      <c r="K63" s="36">
        <f t="shared" si="35"/>
        <v>394.82110886911698</v>
      </c>
      <c r="L63" s="2">
        <f t="shared" si="30"/>
        <v>11.649681593266196</v>
      </c>
      <c r="M63" s="38">
        <f t="shared" si="31"/>
        <v>28.006531138157502</v>
      </c>
      <c r="N63" s="38">
        <f t="shared" si="32"/>
        <v>29.508339086458189</v>
      </c>
      <c r="O63" s="38">
        <f t="shared" si="33"/>
        <v>22.3244119816985</v>
      </c>
      <c r="P63" s="34">
        <f t="shared" si="34"/>
        <v>14.478515384463307</v>
      </c>
    </row>
    <row r="67" spans="1:16">
      <c r="H67" s="57" t="s">
        <v>168</v>
      </c>
      <c r="I67" s="58"/>
      <c r="J67" s="58"/>
      <c r="K67" s="58"/>
      <c r="L67" s="58"/>
      <c r="M67" s="59"/>
    </row>
    <row r="68" spans="1:16">
      <c r="O68" s="186" t="s">
        <v>407</v>
      </c>
      <c r="P68" s="186"/>
    </row>
    <row r="69" spans="1:16">
      <c r="D69" s="2"/>
      <c r="E69" s="2"/>
      <c r="F69" s="2"/>
      <c r="G69" s="2"/>
      <c r="H69" s="2"/>
      <c r="I69" s="2"/>
      <c r="J69" s="2"/>
      <c r="K69" s="4" t="s">
        <v>111</v>
      </c>
      <c r="L69" s="2"/>
      <c r="M69" s="2"/>
      <c r="N69" s="2"/>
      <c r="O69" s="89">
        <v>1.25</v>
      </c>
      <c r="P69" s="89" t="s">
        <v>394</v>
      </c>
    </row>
    <row r="70" spans="1:16">
      <c r="D70" s="2"/>
      <c r="E70" s="2"/>
      <c r="F70" s="2"/>
      <c r="G70" s="2"/>
      <c r="H70" s="2"/>
      <c r="I70" s="2"/>
      <c r="J70" s="2"/>
      <c r="K70" s="4">
        <v>1.29</v>
      </c>
      <c r="M70" s="2" t="s">
        <v>113</v>
      </c>
      <c r="N70" s="2" t="s">
        <v>113</v>
      </c>
      <c r="O70" s="89" t="s">
        <v>116</v>
      </c>
    </row>
    <row r="71" spans="1:16">
      <c r="A71" s="5" t="s">
        <v>249</v>
      </c>
      <c r="B71" s="5">
        <v>15</v>
      </c>
      <c r="D71" s="11" t="s">
        <v>425</v>
      </c>
      <c r="E71" s="12" t="s">
        <v>426</v>
      </c>
      <c r="F71" s="12" t="s">
        <v>427</v>
      </c>
      <c r="G71" s="12" t="s">
        <v>302</v>
      </c>
      <c r="H71" s="12" t="s">
        <v>48</v>
      </c>
      <c r="I71" s="13" t="s">
        <v>43</v>
      </c>
      <c r="J71" s="2" t="s">
        <v>303</v>
      </c>
      <c r="K71" s="2" t="s">
        <v>428</v>
      </c>
      <c r="L71" s="9" t="s">
        <v>112</v>
      </c>
      <c r="M71" s="9" t="s">
        <v>123</v>
      </c>
      <c r="N71" s="9" t="s">
        <v>252</v>
      </c>
      <c r="O71" s="89" t="s">
        <v>118</v>
      </c>
      <c r="P71" t="s">
        <v>383</v>
      </c>
    </row>
    <row r="72" spans="1:16">
      <c r="A72" s="5" t="s">
        <v>109</v>
      </c>
      <c r="B72" s="5">
        <v>5</v>
      </c>
      <c r="D72" s="35">
        <v>15.9</v>
      </c>
      <c r="E72" s="9">
        <f t="shared" ref="E72:E79" si="36">(0.5+(0.00000036*$B$75*$B$19^3*($B$72*0.0254)*($B$71*0.0254)^4)*($B$20+$B$21)*$D72-(0.25-(0.00000036*$B$75*$B$19^3*($B$72*0.0254)*($B$71*0.0254)^4)*(($B$20+$B$21)^2*$B$14-($B$20+$B$21)*$D72))^(1/2))/((0.00000036*$B$75*$B$19^3*($B$72*0.0254)*($B$71*0.0254)^4)*($B$20+$B$21)^2)</f>
        <v>13.509634412617187</v>
      </c>
      <c r="F72" s="36">
        <f t="shared" ref="F72:F78" si="37">D72*E72</f>
        <v>214.80318716061328</v>
      </c>
      <c r="G72" s="36">
        <f t="shared" ref="G72:G78" si="38">(D72-($B$20+$B$21)*E72)*(E72-$B$14)</f>
        <v>181.89299202440324</v>
      </c>
      <c r="H72" s="9">
        <f t="shared" ref="H72:H78" si="39">G72/F72*100</f>
        <v>84.678907435576207</v>
      </c>
      <c r="I72" s="37">
        <f t="shared" ref="I72:I78" si="40">$B$19*(D72-(E72*($B$20+$B$21)))</f>
        <v>5283.6408707659866</v>
      </c>
      <c r="J72" s="38">
        <f t="shared" ref="J72:J78" si="41">(($B$71*0.0254)^4)*($B$72*0.0254)*(I72^3)*2*$B$75*0.00000018</f>
        <v>181.89299202440364</v>
      </c>
      <c r="K72" s="36">
        <f>$K$70*0.6*((0.6*3.1416*($B$71*0.0254)^2*J72^2)^(1/3))/9.81*1000</f>
        <v>1644.3715763954272</v>
      </c>
      <c r="L72" s="2">
        <f t="shared" ref="L72:L78" si="42">K72/F72</f>
        <v>7.6552475693290933</v>
      </c>
      <c r="M72" s="38">
        <f t="shared" ref="M72:M78" si="43">1.30652287/($B$71*0.0254)*POWER(K72*0.00981,3/2)</f>
        <v>222.17515583512093</v>
      </c>
      <c r="N72" s="38">
        <f t="shared" ref="N72:N78" si="44">POWER(I72/$B$74,3)*100</f>
        <v>151.53968416314538</v>
      </c>
      <c r="O72" s="38">
        <f t="shared" ref="O72:O78" si="45">0.65*60*O$10/E72</f>
        <v>5.7736573483552363</v>
      </c>
      <c r="P72" s="33">
        <f t="shared" ref="P72:P78" si="46">($B$20*$B$14+SQRT($B$20^2*$B$14^2+4*$B$20*($R$9-(D72*$B$14))))/(2*$B$20)</f>
        <v>13.463172280176689</v>
      </c>
    </row>
    <row r="73" spans="1:16">
      <c r="A73" s="10"/>
      <c r="B73" s="5"/>
      <c r="D73" s="56">
        <v>14.8</v>
      </c>
      <c r="E73" s="9">
        <f t="shared" si="36"/>
        <v>11.932516811926295</v>
      </c>
      <c r="F73" s="36">
        <f t="shared" si="37"/>
        <v>176.60124881650918</v>
      </c>
      <c r="G73" s="36">
        <f t="shared" si="38"/>
        <v>149.60103886762295</v>
      </c>
      <c r="H73" s="9">
        <f t="shared" si="39"/>
        <v>84.711201008017909</v>
      </c>
      <c r="I73" s="37">
        <f t="shared" si="40"/>
        <v>4950.3910302007034</v>
      </c>
      <c r="J73" s="38">
        <f t="shared" si="41"/>
        <v>149.60103886762263</v>
      </c>
      <c r="K73" s="63">
        <f t="shared" ref="K73:K78" si="47">$K$70*0.6*((0.6*3.1416*($B$71*0.0254)^2*J73^2)^(1/3))/9.81*1000</f>
        <v>1443.4853799068187</v>
      </c>
      <c r="L73" s="2">
        <f t="shared" si="42"/>
        <v>8.1736985982846431</v>
      </c>
      <c r="M73" s="38">
        <f t="shared" si="43"/>
        <v>182.73180155863699</v>
      </c>
      <c r="N73" s="38">
        <f t="shared" si="44"/>
        <v>124.63643556666759</v>
      </c>
      <c r="O73" s="38">
        <f t="shared" si="45"/>
        <v>6.5367601177012942</v>
      </c>
      <c r="P73" s="34">
        <f t="shared" si="46"/>
        <v>13.648950431099079</v>
      </c>
    </row>
    <row r="74" spans="1:16">
      <c r="A74" s="4" t="s">
        <v>14</v>
      </c>
      <c r="B74" s="4">
        <v>4600</v>
      </c>
      <c r="D74" s="56">
        <v>12</v>
      </c>
      <c r="E74" s="9">
        <f t="shared" si="36"/>
        <v>8.3074471076350669</v>
      </c>
      <c r="F74" s="36">
        <f t="shared" si="37"/>
        <v>99.689365291620803</v>
      </c>
      <c r="G74" s="36">
        <f t="shared" si="38"/>
        <v>83.909451261290002</v>
      </c>
      <c r="H74" s="36">
        <f t="shared" si="39"/>
        <v>84.170915338692453</v>
      </c>
      <c r="I74" s="37">
        <f t="shared" si="40"/>
        <v>4082.5507828413379</v>
      </c>
      <c r="J74" s="38">
        <f t="shared" si="41"/>
        <v>83.90945126128905</v>
      </c>
      <c r="K74" s="64">
        <f t="shared" si="47"/>
        <v>981.74019071983071</v>
      </c>
      <c r="L74" s="38">
        <f t="shared" si="42"/>
        <v>9.8479931921318897</v>
      </c>
      <c r="M74" s="38">
        <f t="shared" si="43"/>
        <v>102.49210375029298</v>
      </c>
      <c r="N74" s="38">
        <f t="shared" si="44"/>
        <v>69.907100877930461</v>
      </c>
      <c r="O74" s="38">
        <f t="shared" si="45"/>
        <v>9.3891660084495854</v>
      </c>
      <c r="P74" s="34">
        <f t="shared" si="46"/>
        <v>14.110568092760563</v>
      </c>
    </row>
    <row r="75" spans="1:16">
      <c r="A75" s="4" t="s">
        <v>110</v>
      </c>
      <c r="B75" s="4">
        <v>1.28</v>
      </c>
      <c r="D75" s="56">
        <v>11</v>
      </c>
      <c r="E75" s="9">
        <f t="shared" si="36"/>
        <v>7.156426436263466</v>
      </c>
      <c r="F75" s="36">
        <f t="shared" si="37"/>
        <v>78.720690798898119</v>
      </c>
      <c r="G75" s="36">
        <f t="shared" si="38"/>
        <v>65.833332613128519</v>
      </c>
      <c r="H75" s="9">
        <f t="shared" si="39"/>
        <v>83.629007755163158</v>
      </c>
      <c r="I75" s="37">
        <f t="shared" si="40"/>
        <v>3765.3895715777608</v>
      </c>
      <c r="J75" s="38">
        <f t="shared" si="41"/>
        <v>65.833332613127965</v>
      </c>
      <c r="K75" s="65">
        <f t="shared" si="47"/>
        <v>835.12831811736885</v>
      </c>
      <c r="L75" s="2">
        <f t="shared" si="42"/>
        <v>10.608752408573356</v>
      </c>
      <c r="M75" s="38">
        <f t="shared" si="43"/>
        <v>80.41283377484217</v>
      </c>
      <c r="N75" s="38">
        <f t="shared" si="44"/>
        <v>54.84742606390374</v>
      </c>
      <c r="O75" s="38">
        <f t="shared" si="45"/>
        <v>10.899294598314293</v>
      </c>
      <c r="P75" s="34">
        <f t="shared" si="46"/>
        <v>14.271735861555451</v>
      </c>
    </row>
    <row r="76" spans="1:16">
      <c r="A76" s="5"/>
      <c r="B76" s="5"/>
      <c r="D76" s="56">
        <v>10</v>
      </c>
      <c r="E76" s="9">
        <f t="shared" si="36"/>
        <v>6.0855956129710931</v>
      </c>
      <c r="F76" s="36">
        <f t="shared" si="37"/>
        <v>60.855956129710933</v>
      </c>
      <c r="G76" s="36">
        <f t="shared" si="38"/>
        <v>50.382618505735671</v>
      </c>
      <c r="H76" s="9">
        <f t="shared" si="39"/>
        <v>82.789954689641306</v>
      </c>
      <c r="I76" s="37">
        <f t="shared" si="40"/>
        <v>3444.1988204482027</v>
      </c>
      <c r="J76" s="38">
        <f t="shared" si="41"/>
        <v>50.382618505735344</v>
      </c>
      <c r="K76" s="64">
        <f t="shared" si="47"/>
        <v>698.73067023129863</v>
      </c>
      <c r="L76" s="2">
        <f t="shared" si="42"/>
        <v>11.481713782328796</v>
      </c>
      <c r="M76" s="38">
        <f t="shared" si="43"/>
        <v>61.540392476425879</v>
      </c>
      <c r="N76" s="38">
        <f t="shared" si="44"/>
        <v>41.975042637415271</v>
      </c>
      <c r="O76" s="38">
        <f t="shared" si="45"/>
        <v>12.817151345670675</v>
      </c>
      <c r="P76" s="34">
        <f t="shared" si="46"/>
        <v>14.431065597660112</v>
      </c>
    </row>
    <row r="77" spans="1:16">
      <c r="A77" s="5"/>
      <c r="B77" s="5"/>
      <c r="D77" s="56">
        <v>9</v>
      </c>
      <c r="E77" s="9">
        <f t="shared" si="36"/>
        <v>5.0980910345931321</v>
      </c>
      <c r="F77" s="36">
        <f t="shared" si="37"/>
        <v>45.882819311338189</v>
      </c>
      <c r="G77" s="36">
        <f t="shared" si="38"/>
        <v>37.409974516121629</v>
      </c>
      <c r="H77" s="36">
        <f t="shared" si="39"/>
        <v>81.533731095022716</v>
      </c>
      <c r="I77" s="37">
        <f t="shared" si="40"/>
        <v>3118.8209255116949</v>
      </c>
      <c r="J77" s="38">
        <f t="shared" si="41"/>
        <v>37.409974516120627</v>
      </c>
      <c r="K77" s="64">
        <f t="shared" si="47"/>
        <v>572.94674728316568</v>
      </c>
      <c r="L77" s="38">
        <f t="shared" si="42"/>
        <v>12.48717397672169</v>
      </c>
      <c r="M77" s="38">
        <f t="shared" si="43"/>
        <v>45.694816635881637</v>
      </c>
      <c r="N77" s="38">
        <f t="shared" si="44"/>
        <v>31.167202538312445</v>
      </c>
      <c r="O77" s="38">
        <f t="shared" si="45"/>
        <v>15.299844485069109</v>
      </c>
      <c r="P77" s="34">
        <f t="shared" si="46"/>
        <v>14.588618787890999</v>
      </c>
    </row>
    <row r="78" spans="1:16">
      <c r="A78" s="5"/>
      <c r="B78" s="5"/>
      <c r="D78" s="56">
        <v>8.6999999999999993</v>
      </c>
      <c r="E78" s="9">
        <f t="shared" si="36"/>
        <v>4.8185827269773069</v>
      </c>
      <c r="F78" s="36">
        <f t="shared" si="37"/>
        <v>41.921669724702568</v>
      </c>
      <c r="G78" s="36">
        <f t="shared" si="38"/>
        <v>33.977772683390526</v>
      </c>
      <c r="H78" s="9">
        <f t="shared" si="39"/>
        <v>81.050618705125061</v>
      </c>
      <c r="I78" s="37">
        <f t="shared" si="40"/>
        <v>3020.3662179693902</v>
      </c>
      <c r="J78" s="38">
        <f t="shared" si="41"/>
        <v>33.977772683390441</v>
      </c>
      <c r="K78" s="66">
        <f t="shared" si="47"/>
        <v>537.34422735739111</v>
      </c>
      <c r="L78" s="2">
        <f t="shared" si="42"/>
        <v>12.817815485072584</v>
      </c>
      <c r="M78" s="38">
        <f t="shared" si="43"/>
        <v>41.502516709658501</v>
      </c>
      <c r="N78" s="38">
        <f t="shared" si="44"/>
        <v>28.307747779075104</v>
      </c>
      <c r="O78" s="38">
        <f t="shared" si="45"/>
        <v>16.18733233805645</v>
      </c>
      <c r="P78" s="34">
        <f t="shared" si="46"/>
        <v>14.635547092725872</v>
      </c>
    </row>
    <row r="79" spans="1:16">
      <c r="A79" s="5"/>
      <c r="B79" s="5"/>
      <c r="D79" s="60">
        <v>7.5</v>
      </c>
      <c r="E79" s="17">
        <f t="shared" si="36"/>
        <v>3.7804533291942009</v>
      </c>
      <c r="F79" s="61">
        <f>D79*E79</f>
        <v>28.353399968956506</v>
      </c>
      <c r="G79" s="61">
        <f>(D79-($B$20+$B$21)*E79)*(E79-$B$14)</f>
        <v>22.242243548478839</v>
      </c>
      <c r="H79" s="17">
        <f>G79/F79*100</f>
        <v>78.446477575286792</v>
      </c>
      <c r="I79" s="62">
        <f>$B$19*(D79-(E79*($B$20+$B$21)))</f>
        <v>2622.5322202079915</v>
      </c>
      <c r="J79" s="38">
        <f>(($B$71*0.0254)^4)*($B$72*0.0254)*(I79^3)*2*$B$75*0.00000018</f>
        <v>22.242243548478974</v>
      </c>
      <c r="K79" s="36">
        <f>$K$70*0.6*((0.6*3.1416*($B$71*0.0254)^2*J79^2)^(1/3))/9.81*1000</f>
        <v>405.11194100646281</v>
      </c>
      <c r="L79" s="2">
        <f>K79/F79</f>
        <v>14.287949291796069</v>
      </c>
      <c r="M79" s="38">
        <f>1.30652287/($B$71*0.0254)*POWER(K79*0.00981,3/2)</f>
        <v>27.168028143948682</v>
      </c>
      <c r="N79" s="38">
        <f>POWER(I79/$B$74,3)*100</f>
        <v>18.530579572653618</v>
      </c>
      <c r="O79" s="38">
        <f>0.65*60*O$10/E79</f>
        <v>20.632446219518759</v>
      </c>
      <c r="P79" s="34">
        <f>($B$20*$B$14+SQRT($B$20^2*$B$14^2+4*$B$20*($R$9-(D79*$B$14))))/(2*$B$20)</f>
        <v>14.821743861400373</v>
      </c>
    </row>
    <row r="80" spans="1:16">
      <c r="A80" s="5"/>
      <c r="B80" s="5"/>
    </row>
    <row r="83" spans="1:16">
      <c r="H83" s="57" t="s">
        <v>344</v>
      </c>
      <c r="I83" s="90"/>
      <c r="J83" s="90"/>
      <c r="K83" s="90"/>
      <c r="L83" s="90"/>
      <c r="M83" s="91"/>
    </row>
    <row r="84" spans="1:16">
      <c r="O84" s="186" t="s">
        <v>407</v>
      </c>
      <c r="P84" s="186"/>
    </row>
    <row r="85" spans="1:16">
      <c r="D85" s="2"/>
      <c r="E85" s="2"/>
      <c r="F85" s="2"/>
      <c r="G85" s="2"/>
      <c r="H85" s="2"/>
      <c r="I85" s="2"/>
      <c r="J85" s="2"/>
      <c r="K85" s="4" t="s">
        <v>111</v>
      </c>
      <c r="L85" s="2"/>
      <c r="M85" s="2"/>
      <c r="N85" s="2"/>
      <c r="O85" s="89">
        <v>1.25</v>
      </c>
      <c r="P85" s="89" t="s">
        <v>394</v>
      </c>
    </row>
    <row r="86" spans="1:16">
      <c r="D86" s="2"/>
      <c r="E86" s="2"/>
      <c r="F86" s="2"/>
      <c r="G86" s="2"/>
      <c r="H86" s="2"/>
      <c r="I86" s="2"/>
      <c r="J86" s="2"/>
      <c r="K86" s="4">
        <v>1.29</v>
      </c>
      <c r="M86" s="2" t="s">
        <v>113</v>
      </c>
      <c r="N86" s="2" t="s">
        <v>113</v>
      </c>
      <c r="O86" s="89" t="s">
        <v>116</v>
      </c>
    </row>
    <row r="87" spans="1:16">
      <c r="A87" s="5" t="s">
        <v>249</v>
      </c>
      <c r="B87" s="5">
        <v>12</v>
      </c>
      <c r="D87" s="11" t="s">
        <v>425</v>
      </c>
      <c r="E87" s="12" t="s">
        <v>426</v>
      </c>
      <c r="F87" s="12" t="s">
        <v>427</v>
      </c>
      <c r="G87" s="12" t="s">
        <v>302</v>
      </c>
      <c r="H87" s="12" t="s">
        <v>48</v>
      </c>
      <c r="I87" s="13" t="s">
        <v>43</v>
      </c>
      <c r="J87" s="2" t="s">
        <v>303</v>
      </c>
      <c r="K87" s="2" t="s">
        <v>428</v>
      </c>
      <c r="L87" s="9" t="s">
        <v>112</v>
      </c>
      <c r="M87" s="9" t="s">
        <v>123</v>
      </c>
      <c r="N87" s="9" t="s">
        <v>252</v>
      </c>
      <c r="O87" s="89" t="s">
        <v>118</v>
      </c>
      <c r="P87" t="s">
        <v>383</v>
      </c>
    </row>
    <row r="88" spans="1:16">
      <c r="A88" s="5" t="s">
        <v>109</v>
      </c>
      <c r="B88" s="5">
        <v>4.5</v>
      </c>
      <c r="D88" s="35">
        <v>25</v>
      </c>
      <c r="E88" s="9">
        <f t="shared" ref="E88:E100" si="48">(0.5+(0.00000036*$B$91*$B$19^3*($B$88*0.0254)*($B$87*0.0254)^4)*($B$20+$B$21)*$D88-(0.25-(0.00000036*$B$91*$B$19^3*($B$88*0.0254)*($B$87*0.0254)^4)*(($B$20+$B$21)^2*$B$14-($B$20+$B$21)*$D88))^(1/2))/((0.00000036*$B$91*$B$19^3*($B$88*0.0254)*($B$87*0.0254)^4)*($B$20+$B$21)^2)</f>
        <v>11.887306672800294</v>
      </c>
      <c r="F88" s="36">
        <f>D88*E88</f>
        <v>297.18266682000734</v>
      </c>
      <c r="G88" s="36">
        <f>(D88-($B$20+$B$21)*E88)*(E88-$B$14)</f>
        <v>264.20312624545141</v>
      </c>
      <c r="H88" s="9">
        <f>G88/F88*100</f>
        <v>88.902602925179878</v>
      </c>
      <c r="I88" s="37">
        <f>$B$19*(D88-(E88*($B$20+$B$21)))</f>
        <v>8777.6628396917858</v>
      </c>
      <c r="J88" s="38">
        <f>(($B$87*0.0254)^4)*($B$88*0.0254)*(I88^3)*2*$B$91*0.00000018</f>
        <v>264.2031262454534</v>
      </c>
      <c r="K88" s="36">
        <f>$K$86*0.6*((0.6*3.1416*($B$87*0.0254)^2*J88^2)^(1/3))/9.81*1000</f>
        <v>1817.5007947179429</v>
      </c>
      <c r="L88" s="2">
        <f>K88/F88</f>
        <v>6.1157698534912752</v>
      </c>
      <c r="M88" s="38">
        <f>1.30652287/($B$87*0.0254)*POWER(K88*0.00981,3/2)</f>
        <v>322.7137565466752</v>
      </c>
      <c r="N88" s="38">
        <f>POWER(I88/$B$90,3)*100</f>
        <v>344.47671290008077</v>
      </c>
      <c r="O88" s="38">
        <f>0.65*60*O$10/E88</f>
        <v>6.5616209076589369</v>
      </c>
      <c r="P88" s="33">
        <f>($B$20*$B$14+SQRT($B$20^2*$B$14^2+4*$B$20*($R$9-(D88*$B$14))))/(2*$B$20)</f>
        <v>11.811856315160277</v>
      </c>
    </row>
    <row r="89" spans="1:16">
      <c r="A89" s="10"/>
      <c r="B89" s="5"/>
      <c r="D89" s="56">
        <v>22.2</v>
      </c>
      <c r="E89" s="9">
        <f t="shared" si="48"/>
        <v>9.6094833179431856</v>
      </c>
      <c r="F89" s="36">
        <f>D89*E89</f>
        <v>213.33052965833872</v>
      </c>
      <c r="G89" s="36">
        <f>(D89-($B$20+$B$21)*E89)*(E89-$B$14)</f>
        <v>188.40928138563237</v>
      </c>
      <c r="H89" s="9">
        <f>G89/F89*100</f>
        <v>88.318011344827582</v>
      </c>
      <c r="I89" s="37">
        <f>$B$19*(D89-(E89*($B$20+$B$21)))</f>
        <v>7842.1234632733549</v>
      </c>
      <c r="J89" s="38">
        <f t="shared" ref="J89:J100" si="49">(($B$87*0.0254)^4)*($B$88*0.0254)*(I89^3)*2*$B$91*0.00000018</f>
        <v>188.4092813856343</v>
      </c>
      <c r="K89" s="63">
        <f t="shared" ref="K89:K100" si="50">$K$86*0.6*((0.6*3.1416*($B$87*0.0254)^2*J89^2)^(1/3))/9.81*1000</f>
        <v>1450.7219095782207</v>
      </c>
      <c r="L89" s="2">
        <f>K89/F89</f>
        <v>6.8003483228661006</v>
      </c>
      <c r="M89" s="38">
        <f t="shared" ref="M89:M100" si="51">1.30652287/($B$87*0.0254)*POWER(K89*0.00981,3/2)</f>
        <v>230.13454771814585</v>
      </c>
      <c r="N89" s="38">
        <f t="shared" ref="N89:N100" si="52">POWER(I89/$B$90,3)*100</f>
        <v>245.65420876698107</v>
      </c>
      <c r="O89" s="38">
        <f>0.65*60*O$10/E89</f>
        <v>8.1169816752119743</v>
      </c>
      <c r="P89" s="34">
        <f>($B$20*$B$14+SQRT($B$20^2*$B$14^2+4*$B$20*($R$9-(D89*$B$14))))/(2*$B$20)</f>
        <v>12.344091881654315</v>
      </c>
    </row>
    <row r="90" spans="1:16">
      <c r="A90" s="4" t="s">
        <v>14</v>
      </c>
      <c r="B90" s="4">
        <v>5812</v>
      </c>
      <c r="D90" s="56">
        <v>22</v>
      </c>
      <c r="E90" s="9">
        <f t="shared" si="48"/>
        <v>9.455586506283872</v>
      </c>
      <c r="F90" s="36">
        <f>D90*E90</f>
        <v>208.02290313824517</v>
      </c>
      <c r="G90" s="36">
        <f>(D90-($B$20+$B$21)*E90)*(E90-$B$14)</f>
        <v>183.60244472552287</v>
      </c>
      <c r="H90" s="36">
        <f>G90/F90*100</f>
        <v>88.260687624144325</v>
      </c>
      <c r="I90" s="37">
        <f>$B$19*(D90-(E90*($B$20+$B$21)))</f>
        <v>7774.8567780592357</v>
      </c>
      <c r="J90" s="38">
        <f t="shared" si="49"/>
        <v>183.60244472552452</v>
      </c>
      <c r="K90" s="64">
        <f t="shared" si="50"/>
        <v>1425.9411903505415</v>
      </c>
      <c r="L90" s="38">
        <f>K90/F90</f>
        <v>6.8547317090508439</v>
      </c>
      <c r="M90" s="38">
        <f t="shared" si="51"/>
        <v>224.26318526405771</v>
      </c>
      <c r="N90" s="38">
        <f t="shared" si="52"/>
        <v>239.3868972644523</v>
      </c>
      <c r="O90" s="38">
        <f>0.65*60*O$10/E90</f>
        <v>8.2490916822730949</v>
      </c>
      <c r="P90" s="34">
        <f>($B$20*$B$14+SQRT($B$20^2*$B$14^2+4*$B$20*($R$9-(D90*$B$14))))/(2*$B$20)</f>
        <v>12.381211513825551</v>
      </c>
    </row>
    <row r="91" spans="1:16">
      <c r="A91" s="4" t="s">
        <v>110</v>
      </c>
      <c r="B91" s="4">
        <v>1.1000000000000001</v>
      </c>
      <c r="D91" s="56">
        <v>21</v>
      </c>
      <c r="E91" s="9">
        <f t="shared" si="48"/>
        <v>8.7040259184182212</v>
      </c>
      <c r="F91" s="36">
        <f>D91*E91</f>
        <v>182.78454428678265</v>
      </c>
      <c r="G91" s="36">
        <f>(D91-($B$20+$B$21)*E91)*(E91-$B$14)</f>
        <v>160.73249896736499</v>
      </c>
      <c r="H91" s="9">
        <f>G91/F91*100</f>
        <v>87.935497825889058</v>
      </c>
      <c r="I91" s="37">
        <f>$B$19*(D91-(E91*($B$20+$B$21)))</f>
        <v>7437.6226975994841</v>
      </c>
      <c r="J91" s="38">
        <f t="shared" si="49"/>
        <v>160.73249896736368</v>
      </c>
      <c r="K91" s="64">
        <f t="shared" si="50"/>
        <v>1304.9236610743683</v>
      </c>
      <c r="L91" s="2">
        <f>K91/F91</f>
        <v>7.1391356756454645</v>
      </c>
      <c r="M91" s="38">
        <f t="shared" si="51"/>
        <v>196.32844348973782</v>
      </c>
      <c r="N91" s="38">
        <f t="shared" si="52"/>
        <v>209.56831089520796</v>
      </c>
      <c r="O91" s="38">
        <f>0.65*60*O$10/E91</f>
        <v>8.9613703740182462</v>
      </c>
      <c r="P91" s="34">
        <f>($B$20*$B$14+SQRT($B$20^2*$B$14^2+4*$B$20*($R$9-(D91*$B$14))))/(2*$B$20)</f>
        <v>12.565124686773043</v>
      </c>
    </row>
    <row r="92" spans="1:16">
      <c r="D92" s="56">
        <v>20</v>
      </c>
      <c r="E92" s="9">
        <f t="shared" si="48"/>
        <v>7.9826334718541796</v>
      </c>
      <c r="F92" s="36">
        <f t="shared" ref="F92:F99" si="53">D92*E92</f>
        <v>159.6526694370836</v>
      </c>
      <c r="G92" s="36">
        <f t="shared" ref="G92:G99" si="54">(D92-($B$20+$B$21)*E92)*(E92-$B$14)</f>
        <v>139.75566659066112</v>
      </c>
      <c r="H92" s="36">
        <f t="shared" ref="H92:H99" si="55">G92/F92*100</f>
        <v>87.537319033513839</v>
      </c>
      <c r="I92" s="37">
        <f t="shared" ref="I92:I99" si="56">$B$19*(D92-(E92*($B$20+$B$21)))</f>
        <v>7098.8726680393274</v>
      </c>
      <c r="J92" s="38">
        <f t="shared" si="49"/>
        <v>139.75566659065456</v>
      </c>
      <c r="K92" s="64">
        <f t="shared" si="50"/>
        <v>1188.7638558221824</v>
      </c>
      <c r="L92" s="38">
        <f t="shared" ref="L92:L99" si="57">K92/F92</f>
        <v>7.4459378600659978</v>
      </c>
      <c r="M92" s="38">
        <f t="shared" si="51"/>
        <v>170.70606546212642</v>
      </c>
      <c r="N92" s="38">
        <f t="shared" si="52"/>
        <v>182.21802792591598</v>
      </c>
      <c r="O92" s="38">
        <f t="shared" ref="O92:O99" si="58">0.65*60*O$10/E92</f>
        <v>9.7712115024470005</v>
      </c>
      <c r="P92" s="34">
        <f t="shared" ref="P92:P99" si="59">($B$20*$B$14+SQRT($B$20^2*$B$14^2+4*$B$20*($R$9-(D92*$B$14))))/(2*$B$20)</f>
        <v>12.746320561611293</v>
      </c>
    </row>
    <row r="93" spans="1:16">
      <c r="D93" s="56">
        <v>19</v>
      </c>
      <c r="E93" s="9">
        <f t="shared" si="48"/>
        <v>7.291819701048162</v>
      </c>
      <c r="F93" s="36">
        <f t="shared" si="53"/>
        <v>138.54457431991509</v>
      </c>
      <c r="G93" s="36">
        <f t="shared" si="54"/>
        <v>120.60597159383174</v>
      </c>
      <c r="H93" s="9">
        <f t="shared" si="55"/>
        <v>87.052107371118638</v>
      </c>
      <c r="I93" s="37">
        <f t="shared" si="56"/>
        <v>6758.5860600223295</v>
      </c>
      <c r="J93" s="38">
        <f t="shared" si="49"/>
        <v>120.60597159383397</v>
      </c>
      <c r="K93" s="64">
        <f t="shared" si="50"/>
        <v>1077.5278795315094</v>
      </c>
      <c r="L93" s="2">
        <f t="shared" si="57"/>
        <v>7.7774816142808714</v>
      </c>
      <c r="M93" s="38">
        <f t="shared" si="51"/>
        <v>147.31546408292175</v>
      </c>
      <c r="N93" s="38">
        <f t="shared" si="52"/>
        <v>157.25002667896851</v>
      </c>
      <c r="O93" s="38">
        <f t="shared" si="58"/>
        <v>10.696918354795292</v>
      </c>
      <c r="P93" s="34">
        <f t="shared" si="59"/>
        <v>12.924916136857567</v>
      </c>
    </row>
    <row r="94" spans="1:16">
      <c r="D94" s="56">
        <v>18</v>
      </c>
      <c r="E94" s="9">
        <f t="shared" si="48"/>
        <v>6.6320045368683385</v>
      </c>
      <c r="F94" s="36">
        <f t="shared" si="53"/>
        <v>119.37608166363009</v>
      </c>
      <c r="G94" s="36">
        <f t="shared" si="54"/>
        <v>103.21550794867066</v>
      </c>
      <c r="H94" s="36">
        <f t="shared" si="55"/>
        <v>86.462469290543808</v>
      </c>
      <c r="I94" s="37">
        <f t="shared" si="56"/>
        <v>6416.7417720223666</v>
      </c>
      <c r="J94" s="38">
        <f t="shared" si="49"/>
        <v>103.21550794866708</v>
      </c>
      <c r="K94" s="64">
        <f t="shared" si="50"/>
        <v>971.28335016524409</v>
      </c>
      <c r="L94" s="38">
        <f t="shared" si="57"/>
        <v>8.1363313038038996</v>
      </c>
      <c r="M94" s="38">
        <f t="shared" si="51"/>
        <v>126.07369480193947</v>
      </c>
      <c r="N94" s="38">
        <f t="shared" si="52"/>
        <v>134.57576904459836</v>
      </c>
      <c r="O94" s="38">
        <f t="shared" si="58"/>
        <v>11.761149976057155</v>
      </c>
      <c r="P94" s="34">
        <f t="shared" si="59"/>
        <v>13.101020248518674</v>
      </c>
    </row>
    <row r="95" spans="1:16">
      <c r="D95" s="56">
        <v>16.670000000000002</v>
      </c>
      <c r="E95" s="9">
        <f t="shared" si="48"/>
        <v>5.8032214927658474</v>
      </c>
      <c r="F95" s="36">
        <f t="shared" si="53"/>
        <v>96.73970228440669</v>
      </c>
      <c r="G95" s="36">
        <f t="shared" si="54"/>
        <v>82.691512413415737</v>
      </c>
      <c r="H95" s="9">
        <f t="shared" si="55"/>
        <v>85.478361480077297</v>
      </c>
      <c r="I95" s="37">
        <f t="shared" si="56"/>
        <v>5959.6381199885172</v>
      </c>
      <c r="J95" s="38">
        <f t="shared" si="49"/>
        <v>82.691512413415737</v>
      </c>
      <c r="K95" s="65">
        <f t="shared" si="50"/>
        <v>837.83133322532171</v>
      </c>
      <c r="L95" s="2">
        <f t="shared" si="57"/>
        <v>8.6606771929291995</v>
      </c>
      <c r="M95" s="38">
        <f t="shared" si="51"/>
        <v>101.00443921570991</v>
      </c>
      <c r="N95" s="38">
        <f t="shared" si="52"/>
        <v>107.81590962116738</v>
      </c>
      <c r="O95" s="38">
        <f t="shared" si="58"/>
        <v>13.440810435588729</v>
      </c>
      <c r="P95" s="34">
        <f t="shared" si="59"/>
        <v>13.331551837121397</v>
      </c>
    </row>
    <row r="96" spans="1:16">
      <c r="D96" s="56">
        <v>16</v>
      </c>
      <c r="E96" s="9">
        <f t="shared" si="48"/>
        <v>5.407098569929123</v>
      </c>
      <c r="F96" s="36">
        <f t="shared" si="53"/>
        <v>86.513577118865967</v>
      </c>
      <c r="G96" s="36">
        <f t="shared" si="54"/>
        <v>73.430588041267711</v>
      </c>
      <c r="H96" s="36">
        <f t="shared" si="55"/>
        <v>84.877530772282384</v>
      </c>
      <c r="I96" s="37">
        <f t="shared" si="56"/>
        <v>5728.2932968610612</v>
      </c>
      <c r="J96" s="38">
        <f t="shared" si="49"/>
        <v>73.430588041264897</v>
      </c>
      <c r="K96" s="64">
        <f t="shared" si="50"/>
        <v>774.04696482528664</v>
      </c>
      <c r="L96" s="38">
        <f t="shared" si="57"/>
        <v>8.9471154771670012</v>
      </c>
      <c r="M96" s="38">
        <f t="shared" si="51"/>
        <v>89.692583312631243</v>
      </c>
      <c r="N96" s="38">
        <f t="shared" si="52"/>
        <v>95.741212279505376</v>
      </c>
      <c r="O96" s="38">
        <f t="shared" si="58"/>
        <v>14.425481428022577</v>
      </c>
      <c r="P96" s="34">
        <f t="shared" si="59"/>
        <v>13.446153174354164</v>
      </c>
    </row>
    <row r="97" spans="4:16">
      <c r="D97" s="56">
        <v>15</v>
      </c>
      <c r="E97" s="9">
        <f t="shared" si="48"/>
        <v>4.8428974102927755</v>
      </c>
      <c r="F97" s="36">
        <f t="shared" si="53"/>
        <v>72.64346115439163</v>
      </c>
      <c r="G97" s="36">
        <f t="shared" si="54"/>
        <v>60.890040292412039</v>
      </c>
      <c r="H97" s="9">
        <f t="shared" si="55"/>
        <v>83.820400796983435</v>
      </c>
      <c r="I97" s="37">
        <f t="shared" si="56"/>
        <v>5381.6444051327881</v>
      </c>
      <c r="J97" s="38">
        <f t="shared" si="49"/>
        <v>60.890040292412749</v>
      </c>
      <c r="K97" s="64">
        <f t="shared" si="50"/>
        <v>683.19836065911556</v>
      </c>
      <c r="L97" s="2">
        <f t="shared" si="57"/>
        <v>9.404815654461876</v>
      </c>
      <c r="M97" s="38">
        <f t="shared" si="51"/>
        <v>74.374796083174999</v>
      </c>
      <c r="N97" s="38">
        <f t="shared" si="52"/>
        <v>79.390434270626926</v>
      </c>
      <c r="O97" s="38">
        <f t="shared" si="58"/>
        <v>16.106060771434873</v>
      </c>
      <c r="P97" s="34">
        <f t="shared" si="59"/>
        <v>13.61536538078774</v>
      </c>
    </row>
    <row r="98" spans="4:16">
      <c r="D98" s="56">
        <v>14</v>
      </c>
      <c r="E98" s="9">
        <f t="shared" si="48"/>
        <v>4.3114748177356725</v>
      </c>
      <c r="F98" s="36">
        <f t="shared" si="53"/>
        <v>60.360647448299417</v>
      </c>
      <c r="G98" s="36">
        <f t="shared" si="54"/>
        <v>49.816388799713536</v>
      </c>
      <c r="H98" s="36">
        <f t="shared" si="55"/>
        <v>82.53123666770253</v>
      </c>
      <c r="I98" s="37">
        <f t="shared" si="56"/>
        <v>5033.3483904087825</v>
      </c>
      <c r="J98" s="38">
        <f t="shared" si="49"/>
        <v>49.816388799709571</v>
      </c>
      <c r="K98" s="64">
        <f t="shared" si="50"/>
        <v>597.62781559439077</v>
      </c>
      <c r="L98" s="38">
        <f t="shared" si="57"/>
        <v>9.9009510477215432</v>
      </c>
      <c r="M98" s="38">
        <f t="shared" si="51"/>
        <v>60.84876509829207</v>
      </c>
      <c r="N98" s="38">
        <f t="shared" si="52"/>
        <v>64.952243776001353</v>
      </c>
      <c r="O98" s="38">
        <f t="shared" si="58"/>
        <v>18.09125723734704</v>
      </c>
      <c r="P98" s="34">
        <f t="shared" si="59"/>
        <v>13.78245404828732</v>
      </c>
    </row>
    <row r="99" spans="4:16">
      <c r="D99" s="56">
        <v>13.28</v>
      </c>
      <c r="E99" s="9">
        <f t="shared" si="48"/>
        <v>3.9494114312669666</v>
      </c>
      <c r="F99" s="36">
        <f t="shared" si="53"/>
        <v>52.448183807225313</v>
      </c>
      <c r="G99" s="36">
        <f t="shared" si="54"/>
        <v>42.707604498740601</v>
      </c>
      <c r="H99" s="9">
        <f t="shared" si="55"/>
        <v>81.428185684586396</v>
      </c>
      <c r="I99" s="37">
        <f t="shared" si="56"/>
        <v>4781.5420755788346</v>
      </c>
      <c r="J99" s="38">
        <f t="shared" si="49"/>
        <v>42.707604498740658</v>
      </c>
      <c r="K99" s="66">
        <f t="shared" si="50"/>
        <v>539.32777009014865</v>
      </c>
      <c r="L99" s="2">
        <f t="shared" si="57"/>
        <v>10.283059029698</v>
      </c>
      <c r="M99" s="38">
        <f t="shared" si="51"/>
        <v>52.165663884287433</v>
      </c>
      <c r="N99" s="38">
        <f t="shared" si="52"/>
        <v>55.683577339259649</v>
      </c>
      <c r="O99" s="38">
        <f t="shared" si="58"/>
        <v>19.749778253661887</v>
      </c>
      <c r="P99" s="34">
        <f t="shared" si="59"/>
        <v>13.901486968754337</v>
      </c>
    </row>
    <row r="100" spans="4:16">
      <c r="D100" s="60">
        <v>11.4</v>
      </c>
      <c r="E100" s="17">
        <f t="shared" si="48"/>
        <v>3.0865978790271975</v>
      </c>
      <c r="F100" s="61">
        <f>D100*E100</f>
        <v>35.187215820910055</v>
      </c>
      <c r="G100" s="61">
        <f>(D100-($B$20+$B$21)*E100)*(E100-$B$14)</f>
        <v>27.318748703830604</v>
      </c>
      <c r="H100" s="61">
        <f>G100/F100*100</f>
        <v>77.638278751217356</v>
      </c>
      <c r="I100" s="62">
        <f>$B$19*(D100-(E100*($B$20+$B$21)))</f>
        <v>4119.8984565788833</v>
      </c>
      <c r="J100" s="38">
        <f t="shared" si="49"/>
        <v>27.31874870383043</v>
      </c>
      <c r="K100" s="36">
        <f t="shared" si="50"/>
        <v>400.39610442821396</v>
      </c>
      <c r="L100" s="38">
        <f>K100/F100</f>
        <v>11.379022042155379</v>
      </c>
      <c r="M100" s="38">
        <f t="shared" si="51"/>
        <v>33.368780088458358</v>
      </c>
      <c r="N100" s="38">
        <f t="shared" si="52"/>
        <v>35.619081756421103</v>
      </c>
      <c r="O100" s="38">
        <f>0.65*60*O$10/E100</f>
        <v>25.270541566167097</v>
      </c>
      <c r="P100" s="34">
        <f>($B$20*$B$14+SQRT($B$20^2*$B$14^2+4*$B$20*($R$9-(D100*$B$14))))/(2*$B$20)</f>
        <v>14.207492880061281</v>
      </c>
    </row>
  </sheetData>
  <sheetCalcPr fullCalcOnLoad="1"/>
  <mergeCells count="5">
    <mergeCell ref="O9:P9"/>
    <mergeCell ref="O31:P31"/>
    <mergeCell ref="O50:P50"/>
    <mergeCell ref="O68:P68"/>
    <mergeCell ref="O84:P84"/>
  </mergeCells>
  <phoneticPr fontId="1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R100"/>
  <sheetViews>
    <sheetView topLeftCell="A162" workbookViewId="0">
      <selection activeCell="S21" sqref="S21"/>
    </sheetView>
  </sheetViews>
  <sheetFormatPr baseColWidth="10" defaultRowHeight="15"/>
  <sheetData>
    <row r="1" spans="1:18" ht="20">
      <c r="A1" s="78"/>
      <c r="B1" s="95" t="s">
        <v>284</v>
      </c>
      <c r="C1" s="8"/>
      <c r="D1" s="8"/>
      <c r="E1" s="8"/>
      <c r="F1" s="8"/>
      <c r="G1" s="8"/>
    </row>
    <row r="7" spans="1:18" ht="16">
      <c r="F7" t="s">
        <v>289</v>
      </c>
      <c r="H7" s="82" t="s">
        <v>46</v>
      </c>
      <c r="I7" s="83"/>
      <c r="J7" s="83"/>
      <c r="K7" s="83"/>
      <c r="L7" s="83"/>
      <c r="M7" s="83"/>
      <c r="N7" s="84"/>
    </row>
    <row r="8" spans="1:18" ht="17">
      <c r="F8" t="s">
        <v>68</v>
      </c>
      <c r="H8" s="85" t="s">
        <v>282</v>
      </c>
      <c r="I8" s="86"/>
      <c r="J8" s="86"/>
      <c r="K8" s="86"/>
      <c r="L8" s="86"/>
      <c r="M8" s="86"/>
      <c r="N8" s="87"/>
      <c r="R8" s="7" t="s">
        <v>16</v>
      </c>
    </row>
    <row r="9" spans="1:18">
      <c r="O9" s="186" t="s">
        <v>135</v>
      </c>
      <c r="P9" s="186"/>
      <c r="R9" s="7">
        <f>($B$20*$B$17^2+$B$14*(($B$18/$B$17)-$B$17*$B$20))/2</f>
        <v>79.8</v>
      </c>
    </row>
    <row r="10" spans="1:18" ht="16">
      <c r="D10" s="2"/>
      <c r="E10" s="2"/>
      <c r="F10" s="2"/>
      <c r="G10" s="2"/>
      <c r="H10" s="2"/>
      <c r="I10" s="2"/>
      <c r="J10" s="2"/>
      <c r="K10" s="4" t="s">
        <v>111</v>
      </c>
      <c r="L10" s="2"/>
      <c r="M10" s="2"/>
      <c r="N10" s="2"/>
      <c r="O10" s="89">
        <v>2</v>
      </c>
      <c r="P10" s="89" t="s">
        <v>394</v>
      </c>
      <c r="R10" t="s">
        <v>13</v>
      </c>
    </row>
    <row r="11" spans="1:18" ht="16">
      <c r="D11" s="2"/>
      <c r="E11" s="2"/>
      <c r="F11" s="2"/>
      <c r="G11" s="2"/>
      <c r="H11" s="2"/>
      <c r="I11" s="2"/>
      <c r="J11" s="2"/>
      <c r="K11" s="4">
        <v>1.34</v>
      </c>
      <c r="M11" s="2" t="s">
        <v>113</v>
      </c>
      <c r="N11" s="2" t="s">
        <v>113</v>
      </c>
      <c r="O11" s="89" t="s">
        <v>116</v>
      </c>
      <c r="R11" s="31" t="s">
        <v>22</v>
      </c>
    </row>
    <row r="12" spans="1:18">
      <c r="A12" s="5" t="s">
        <v>249</v>
      </c>
      <c r="B12" s="5">
        <v>13</v>
      </c>
      <c r="D12" s="11" t="s">
        <v>425</v>
      </c>
      <c r="E12" s="12" t="s">
        <v>426</v>
      </c>
      <c r="F12" s="12" t="s">
        <v>427</v>
      </c>
      <c r="G12" s="12" t="s">
        <v>302</v>
      </c>
      <c r="H12" s="12" t="s">
        <v>48</v>
      </c>
      <c r="I12" s="13" t="s">
        <v>43</v>
      </c>
      <c r="J12" s="2" t="s">
        <v>303</v>
      </c>
      <c r="K12" s="2" t="s">
        <v>428</v>
      </c>
      <c r="L12" s="9" t="s">
        <v>112</v>
      </c>
      <c r="M12" s="9" t="s">
        <v>123</v>
      </c>
      <c r="N12" s="9" t="s">
        <v>252</v>
      </c>
      <c r="O12" s="89" t="s">
        <v>118</v>
      </c>
      <c r="P12" t="s">
        <v>383</v>
      </c>
    </row>
    <row r="13" spans="1:18">
      <c r="A13" s="5" t="s">
        <v>109</v>
      </c>
      <c r="B13" s="5">
        <v>4</v>
      </c>
      <c r="D13" s="35">
        <v>23.2</v>
      </c>
      <c r="E13" s="9">
        <f t="shared" ref="E13:E25" si="0">(0.5+(0.00000036*$B$16*$B$19^3*($B$13*0.0254)*($B$12*0.0254)^4)*($B$20+$B$21)*$D13-(0.25-(0.00000036*$B$16*$B$19^3*($B$13*0.0254)*($B$12*0.0254)^4)*(($B$20+$B$21)^2*$B$14-($B$20+$B$21)*$D13))^(1/2))/((0.00000036*$B$16*$B$19^3*($B$13*0.0254)*($B$12*0.0254)^4)*($B$20+$B$21)^2)</f>
        <v>12.685150624108465</v>
      </c>
      <c r="F13" s="36">
        <f t="shared" ref="F13:F25" si="1">D13*E13</f>
        <v>294.29549447931635</v>
      </c>
      <c r="G13" s="36">
        <f t="shared" ref="G13:G25" si="2">(D13-($B$20+$B$21)*E13)*(E13-$B$14)</f>
        <v>243.58302504367137</v>
      </c>
      <c r="H13" s="9">
        <f t="shared" ref="H13:H25" si="3">G13/F13*100</f>
        <v>82.768180149897219</v>
      </c>
      <c r="I13" s="37">
        <f t="shared" ref="I13:I25" si="4">$B$19*(D13-(E13*($B$20+$B$21)))</f>
        <v>8062.2255400855875</v>
      </c>
      <c r="J13" s="38">
        <f t="shared" ref="J13:J25" si="5">(($B$12*0.0254)^4)*($B$13*0.0254)*(I13^3)*2*$B$16*0.00000018</f>
        <v>243.58302504367154</v>
      </c>
      <c r="K13" s="36">
        <f t="shared" ref="K13:K25" si="6">$K$11*0.6*((0.6*3.1416*($B$12*0.0254)^2*J13^2)^(1/3))/9.81*1000</f>
        <v>1886.4145896859952</v>
      </c>
      <c r="L13" s="2">
        <f t="shared" ref="L13:L25" si="7">K13/F13</f>
        <v>6.4099336383777903</v>
      </c>
      <c r="M13" s="38">
        <f t="shared" ref="M13:M25" si="8">1.30652287/($B$12*0.0254)*POWER(K13*0.00981,3/2)</f>
        <v>314.99174931793505</v>
      </c>
      <c r="N13" s="38">
        <f t="shared" ref="N13:N25" si="9">POWER(I13/$B$15,3)*100</f>
        <v>282.96991412362706</v>
      </c>
      <c r="O13" s="38">
        <f t="shared" ref="O13:O25" si="10">0.65*60*O$10/E13</f>
        <v>6.148921862367084</v>
      </c>
      <c r="P13" s="33">
        <f t="shared" ref="P13:P25" si="11">($B$20*$B$14+SQRT($B$20^2*$B$14^2+4*$B$20*($R$9-(D13*$B$14))))/(2*$B$20)</f>
        <v>16.87075737556977</v>
      </c>
    </row>
    <row r="14" spans="1:18">
      <c r="A14" s="10" t="s">
        <v>63</v>
      </c>
      <c r="B14" s="5">
        <v>0.6</v>
      </c>
      <c r="D14" s="56">
        <v>22.2</v>
      </c>
      <c r="E14" s="9">
        <f t="shared" si="0"/>
        <v>11.768013391298263</v>
      </c>
      <c r="F14" s="36">
        <f t="shared" si="1"/>
        <v>261.24989728682141</v>
      </c>
      <c r="G14" s="36">
        <f t="shared" si="2"/>
        <v>216.38781781250233</v>
      </c>
      <c r="H14" s="36">
        <f t="shared" si="3"/>
        <v>82.827905411550901</v>
      </c>
      <c r="I14" s="37">
        <f t="shared" si="4"/>
        <v>7750.2707144353662</v>
      </c>
      <c r="J14" s="38">
        <f t="shared" si="5"/>
        <v>216.38781781250125</v>
      </c>
      <c r="K14" s="121">
        <f t="shared" si="6"/>
        <v>1743.2553432247907</v>
      </c>
      <c r="L14" s="38">
        <f t="shared" si="7"/>
        <v>6.6727503487241684</v>
      </c>
      <c r="M14" s="38">
        <f t="shared" si="8"/>
        <v>279.82400354716862</v>
      </c>
      <c r="N14" s="38">
        <f t="shared" si="9"/>
        <v>251.37729615117686</v>
      </c>
      <c r="O14" s="38">
        <f t="shared" si="10"/>
        <v>6.6281365772133043</v>
      </c>
      <c r="P14" s="34">
        <f t="shared" si="11"/>
        <v>16.946020545463711</v>
      </c>
    </row>
    <row r="15" spans="1:18">
      <c r="A15" s="4" t="s">
        <v>14</v>
      </c>
      <c r="B15" s="4">
        <v>5700</v>
      </c>
      <c r="D15" s="56">
        <v>21.48</v>
      </c>
      <c r="E15" s="9">
        <f t="shared" si="0"/>
        <v>11.125337190135722</v>
      </c>
      <c r="F15" s="36">
        <f t="shared" si="1"/>
        <v>238.97224284411533</v>
      </c>
      <c r="G15" s="36">
        <f t="shared" si="2"/>
        <v>197.98074077688281</v>
      </c>
      <c r="H15" s="9">
        <f t="shared" si="3"/>
        <v>82.846751748498335</v>
      </c>
      <c r="I15" s="37">
        <f t="shared" si="4"/>
        <v>7523.9676297469714</v>
      </c>
      <c r="J15" s="38">
        <f t="shared" si="5"/>
        <v>197.98074077688449</v>
      </c>
      <c r="K15" s="65">
        <f t="shared" si="6"/>
        <v>1642.9377054869369</v>
      </c>
      <c r="L15" s="2">
        <f t="shared" si="7"/>
        <v>6.8750147964198769</v>
      </c>
      <c r="M15" s="38">
        <f t="shared" si="8"/>
        <v>256.02071350165176</v>
      </c>
      <c r="N15" s="38">
        <f t="shared" si="9"/>
        <v>229.99383149019886</v>
      </c>
      <c r="O15" s="38">
        <f t="shared" si="10"/>
        <v>7.0110234563639731</v>
      </c>
      <c r="P15" s="34">
        <f t="shared" si="11"/>
        <v>17</v>
      </c>
    </row>
    <row r="16" spans="1:18">
      <c r="A16" s="4" t="s">
        <v>110</v>
      </c>
      <c r="B16" s="4">
        <v>1.069</v>
      </c>
      <c r="D16" s="56">
        <v>21</v>
      </c>
      <c r="E16" s="9">
        <f t="shared" si="0"/>
        <v>10.705261910823371</v>
      </c>
      <c r="F16" s="36">
        <f t="shared" si="1"/>
        <v>224.81050012729079</v>
      </c>
      <c r="G16" s="36">
        <f t="shared" si="2"/>
        <v>186.24742602341121</v>
      </c>
      <c r="H16" s="36">
        <f t="shared" si="3"/>
        <v>82.846408827859619</v>
      </c>
      <c r="I16" s="37">
        <f t="shared" si="4"/>
        <v>7372.2948565609568</v>
      </c>
      <c r="J16" s="38">
        <f t="shared" si="5"/>
        <v>186.24742602341101</v>
      </c>
      <c r="K16" s="64">
        <f t="shared" si="6"/>
        <v>1577.3666455714229</v>
      </c>
      <c r="L16" s="38">
        <f t="shared" si="7"/>
        <v>7.0164278122164943</v>
      </c>
      <c r="M16" s="38">
        <f t="shared" si="8"/>
        <v>240.84766382451639</v>
      </c>
      <c r="N16" s="38">
        <f t="shared" si="9"/>
        <v>216.36326315490288</v>
      </c>
      <c r="O16" s="38">
        <f t="shared" si="10"/>
        <v>7.2861365419877719</v>
      </c>
      <c r="P16" s="34">
        <f t="shared" si="11"/>
        <v>17.035889578985639</v>
      </c>
    </row>
    <row r="17" spans="1:16">
      <c r="A17" s="5" t="s">
        <v>383</v>
      </c>
      <c r="B17" s="5">
        <v>25</v>
      </c>
      <c r="D17" s="56">
        <v>20</v>
      </c>
      <c r="E17" s="9">
        <f t="shared" si="0"/>
        <v>9.8520523998555092</v>
      </c>
      <c r="F17" s="36">
        <f t="shared" si="1"/>
        <v>197.04104799711018</v>
      </c>
      <c r="G17" s="36">
        <f t="shared" si="2"/>
        <v>163.16463878520969</v>
      </c>
      <c r="H17" s="9">
        <f t="shared" si="3"/>
        <v>82.80743552866339</v>
      </c>
      <c r="I17" s="37">
        <f t="shared" si="4"/>
        <v>7054.2029696138716</v>
      </c>
      <c r="J17" s="38">
        <f t="shared" si="5"/>
        <v>163.16463878521014</v>
      </c>
      <c r="K17" s="64">
        <f t="shared" si="6"/>
        <v>1444.1861069409995</v>
      </c>
      <c r="L17" s="2">
        <f t="shared" si="7"/>
        <v>7.3293667569316829</v>
      </c>
      <c r="M17" s="38">
        <f t="shared" si="8"/>
        <v>210.99793381976323</v>
      </c>
      <c r="N17" s="38">
        <f t="shared" si="9"/>
        <v>189.54803528195652</v>
      </c>
      <c r="O17" s="38">
        <f t="shared" si="10"/>
        <v>7.9171320689630065</v>
      </c>
      <c r="P17" s="34">
        <f t="shared" si="11"/>
        <v>17.110413439294106</v>
      </c>
    </row>
    <row r="18" spans="1:16" ht="17">
      <c r="A18" s="5" t="s">
        <v>17</v>
      </c>
      <c r="B18" s="5">
        <v>550</v>
      </c>
      <c r="D18" s="56">
        <v>19</v>
      </c>
      <c r="E18" s="9">
        <f t="shared" si="0"/>
        <v>9.0291755765356978</v>
      </c>
      <c r="F18" s="36">
        <f t="shared" si="1"/>
        <v>171.55433595417827</v>
      </c>
      <c r="G18" s="36">
        <f t="shared" si="2"/>
        <v>141.88829445514131</v>
      </c>
      <c r="H18" s="36">
        <f t="shared" si="3"/>
        <v>82.707495363474408</v>
      </c>
      <c r="I18" s="37">
        <f t="shared" si="4"/>
        <v>6733.1991446525735</v>
      </c>
      <c r="J18" s="38">
        <f t="shared" si="5"/>
        <v>141.88829445514176</v>
      </c>
      <c r="K18" s="64">
        <f t="shared" si="6"/>
        <v>1315.7403065280262</v>
      </c>
      <c r="L18" s="38">
        <f t="shared" si="7"/>
        <v>7.6695252219067029</v>
      </c>
      <c r="M18" s="38">
        <f t="shared" si="8"/>
        <v>183.48422296730374</v>
      </c>
      <c r="N18" s="38">
        <f t="shared" si="9"/>
        <v>164.83134853063325</v>
      </c>
      <c r="O18" s="38">
        <f t="shared" si="10"/>
        <v>8.6386624491720134</v>
      </c>
      <c r="P18" s="34">
        <f t="shared" si="11"/>
        <v>17.184608375677534</v>
      </c>
    </row>
    <row r="19" spans="1:16">
      <c r="A19" s="5" t="s">
        <v>157</v>
      </c>
      <c r="B19" s="5">
        <v>400</v>
      </c>
      <c r="D19" s="56">
        <v>18</v>
      </c>
      <c r="E19" s="9">
        <f t="shared" si="0"/>
        <v>8.237480046007752</v>
      </c>
      <c r="F19" s="36">
        <f t="shared" si="1"/>
        <v>148.27464082813952</v>
      </c>
      <c r="G19" s="36">
        <f t="shared" si="2"/>
        <v>122.37537935275445</v>
      </c>
      <c r="H19" s="9">
        <f t="shared" si="3"/>
        <v>82.532912350531944</v>
      </c>
      <c r="I19" s="37">
        <f t="shared" si="4"/>
        <v>6409.2019155832559</v>
      </c>
      <c r="J19" s="38">
        <f t="shared" si="5"/>
        <v>122.37537935275409</v>
      </c>
      <c r="K19" s="64">
        <f t="shared" si="6"/>
        <v>1192.1617061589166</v>
      </c>
      <c r="L19" s="2">
        <f t="shared" si="7"/>
        <v>8.040226565382234</v>
      </c>
      <c r="M19" s="38">
        <f t="shared" si="8"/>
        <v>158.25090770943041</v>
      </c>
      <c r="N19" s="38">
        <f t="shared" si="9"/>
        <v>142.1632339941859</v>
      </c>
      <c r="O19" s="38">
        <f t="shared" si="10"/>
        <v>9.468915197895047</v>
      </c>
      <c r="P19" s="34">
        <f t="shared" si="11"/>
        <v>17.258478705355618</v>
      </c>
    </row>
    <row r="20" spans="1:16">
      <c r="A20" s="5" t="s">
        <v>158</v>
      </c>
      <c r="B20" s="8">
        <v>0.24</v>
      </c>
      <c r="C20">
        <v>7.9000000000000001E-2</v>
      </c>
      <c r="D20" s="56">
        <v>17</v>
      </c>
      <c r="E20" s="9">
        <f t="shared" si="0"/>
        <v>7.4778547357181697</v>
      </c>
      <c r="F20" s="36">
        <f t="shared" si="1"/>
        <v>127.12353050720888</v>
      </c>
      <c r="G20" s="36">
        <f t="shared" si="2"/>
        <v>104.57994684151167</v>
      </c>
      <c r="H20" s="36">
        <f t="shared" si="3"/>
        <v>82.266395862551335</v>
      </c>
      <c r="I20" s="37">
        <f t="shared" si="4"/>
        <v>6082.1259453710563</v>
      </c>
      <c r="J20" s="38">
        <f t="shared" si="5"/>
        <v>104.57994684151156</v>
      </c>
      <c r="K20" s="64">
        <f t="shared" si="6"/>
        <v>1073.5890617132291</v>
      </c>
      <c r="L20" s="38">
        <f t="shared" si="7"/>
        <v>8.4452426504340075</v>
      </c>
      <c r="M20" s="38">
        <f t="shared" si="8"/>
        <v>135.23857170785334</v>
      </c>
      <c r="N20" s="38">
        <f t="shared" si="9"/>
        <v>121.49031555663758</v>
      </c>
      <c r="O20" s="38">
        <f t="shared" si="10"/>
        <v>10.430799040188752</v>
      </c>
      <c r="P20" s="34">
        <f t="shared" si="11"/>
        <v>17.332028651925175</v>
      </c>
    </row>
    <row r="21" spans="1:16">
      <c r="A21" s="5" t="s">
        <v>250</v>
      </c>
      <c r="B21" s="5">
        <v>0</v>
      </c>
      <c r="D21" s="56">
        <v>16.420000000000002</v>
      </c>
      <c r="E21" s="9">
        <f t="shared" si="0"/>
        <v>7.0523320130156968</v>
      </c>
      <c r="F21" s="36">
        <f t="shared" si="1"/>
        <v>115.79929165371776</v>
      </c>
      <c r="G21" s="36">
        <f t="shared" si="2"/>
        <v>95.026334626358576</v>
      </c>
      <c r="H21" s="9">
        <f t="shared" si="3"/>
        <v>82.061239986270451</v>
      </c>
      <c r="I21" s="37">
        <f t="shared" si="4"/>
        <v>5890.9761267504937</v>
      </c>
      <c r="J21" s="38">
        <f t="shared" si="5"/>
        <v>95.026334626358832</v>
      </c>
      <c r="K21" s="65">
        <f t="shared" si="6"/>
        <v>1007.167690783231</v>
      </c>
      <c r="L21" s="2">
        <f t="shared" si="7"/>
        <v>8.6975289433982965</v>
      </c>
      <c r="M21" s="38">
        <f t="shared" si="8"/>
        <v>122.88422549092535</v>
      </c>
      <c r="N21" s="38">
        <f t="shared" si="9"/>
        <v>110.39190331051529</v>
      </c>
      <c r="O21" s="38">
        <f t="shared" si="10"/>
        <v>11.060171281789366</v>
      </c>
      <c r="P21" s="34">
        <f t="shared" si="11"/>
        <v>17.374542453606185</v>
      </c>
    </row>
    <row r="22" spans="1:16">
      <c r="D22" s="56">
        <v>15</v>
      </c>
      <c r="E22" s="9">
        <f t="shared" si="0"/>
        <v>6.0585887468877013</v>
      </c>
      <c r="F22" s="36">
        <f t="shared" si="1"/>
        <v>90.878831203315514</v>
      </c>
      <c r="G22" s="36">
        <f t="shared" si="2"/>
        <v>73.941708557927925</v>
      </c>
      <c r="H22" s="9">
        <f t="shared" si="3"/>
        <v>81.362961625798647</v>
      </c>
      <c r="I22" s="37">
        <f t="shared" si="4"/>
        <v>5418.3754802987805</v>
      </c>
      <c r="J22" s="38">
        <f t="shared" si="5"/>
        <v>73.941708557928536</v>
      </c>
      <c r="K22" s="64">
        <f t="shared" si="6"/>
        <v>852.05073329274012</v>
      </c>
      <c r="L22" s="2">
        <f t="shared" si="7"/>
        <v>9.3756788243294977</v>
      </c>
      <c r="M22" s="38">
        <f t="shared" si="8"/>
        <v>95.618436966381552</v>
      </c>
      <c r="N22" s="38">
        <f t="shared" si="9"/>
        <v>85.897935281163385</v>
      </c>
      <c r="O22" s="38">
        <f t="shared" si="10"/>
        <v>12.87428529293536</v>
      </c>
      <c r="P22" s="34">
        <f t="shared" si="11"/>
        <v>17.478183838811365</v>
      </c>
    </row>
    <row r="23" spans="1:16">
      <c r="D23" s="56">
        <v>14</v>
      </c>
      <c r="E23" s="9">
        <f t="shared" si="0"/>
        <v>5.400953387292585</v>
      </c>
      <c r="F23" s="36">
        <f t="shared" si="1"/>
        <v>75.613347422096183</v>
      </c>
      <c r="G23" s="36">
        <f t="shared" si="2"/>
        <v>60.990213311856586</v>
      </c>
      <c r="H23" s="36">
        <f t="shared" si="3"/>
        <v>80.660644438066058</v>
      </c>
      <c r="I23" s="37">
        <f t="shared" si="4"/>
        <v>5081.5084748199115</v>
      </c>
      <c r="J23" s="38">
        <f t="shared" si="5"/>
        <v>60.990213311856955</v>
      </c>
      <c r="K23" s="64">
        <f t="shared" si="6"/>
        <v>749.39806675841885</v>
      </c>
      <c r="L23" s="38">
        <f t="shared" si="7"/>
        <v>9.9109230355198541</v>
      </c>
      <c r="M23" s="38">
        <f t="shared" si="8"/>
        <v>78.870085380257777</v>
      </c>
      <c r="N23" s="38">
        <f t="shared" si="9"/>
        <v>70.852209098493773</v>
      </c>
      <c r="O23" s="38">
        <f t="shared" si="10"/>
        <v>14.441894681690671</v>
      </c>
      <c r="P23" s="34">
        <f t="shared" si="11"/>
        <v>17.550797083033583</v>
      </c>
    </row>
    <row r="24" spans="1:16">
      <c r="D24" s="56">
        <v>13.58</v>
      </c>
      <c r="E24" s="9">
        <f t="shared" si="0"/>
        <v>5.1354436699316457</v>
      </c>
      <c r="F24" s="36">
        <f t="shared" si="1"/>
        <v>69.739325037671748</v>
      </c>
      <c r="G24" s="36">
        <f t="shared" si="2"/>
        <v>56.00136132125207</v>
      </c>
      <c r="H24" s="9">
        <f t="shared" si="3"/>
        <v>80.300979814475255</v>
      </c>
      <c r="I24" s="37">
        <f t="shared" si="4"/>
        <v>4938.9974076865619</v>
      </c>
      <c r="J24" s="38">
        <f t="shared" si="5"/>
        <v>56.001361321252332</v>
      </c>
      <c r="K24" s="66">
        <f t="shared" si="6"/>
        <v>707.95370084923957</v>
      </c>
      <c r="L24" s="2">
        <f t="shared" si="7"/>
        <v>10.151427483228689</v>
      </c>
      <c r="M24" s="38">
        <f t="shared" si="8"/>
        <v>72.418703083289074</v>
      </c>
      <c r="N24" s="38">
        <f t="shared" si="9"/>
        <v>65.05666969625598</v>
      </c>
      <c r="O24" s="38">
        <f t="shared" si="10"/>
        <v>15.188561108496826</v>
      </c>
      <c r="P24" s="34">
        <f t="shared" si="11"/>
        <v>17.581203661782361</v>
      </c>
    </row>
    <row r="25" spans="1:16">
      <c r="D25" s="60">
        <v>10</v>
      </c>
      <c r="E25" s="17">
        <f t="shared" si="0"/>
        <v>3.1429664800401151</v>
      </c>
      <c r="F25" s="61">
        <f t="shared" si="1"/>
        <v>31.429664800401152</v>
      </c>
      <c r="G25" s="61">
        <f t="shared" si="2"/>
        <v>23.511474782809547</v>
      </c>
      <c r="H25" s="61">
        <f t="shared" si="3"/>
        <v>74.806635489505624</v>
      </c>
      <c r="I25" s="62">
        <f t="shared" si="4"/>
        <v>3698.2752179161489</v>
      </c>
      <c r="J25" s="38">
        <f t="shared" si="5"/>
        <v>23.511474782809973</v>
      </c>
      <c r="K25" s="38">
        <f t="shared" si="6"/>
        <v>396.94077618367169</v>
      </c>
      <c r="L25" s="38">
        <f t="shared" si="7"/>
        <v>12.629494418871605</v>
      </c>
      <c r="M25" s="38">
        <f t="shared" si="8"/>
        <v>30.404091457333859</v>
      </c>
      <c r="N25" s="38">
        <f t="shared" si="9"/>
        <v>27.313233338073339</v>
      </c>
      <c r="O25" s="38">
        <f t="shared" si="10"/>
        <v>24.817318445917518</v>
      </c>
      <c r="P25" s="34">
        <f t="shared" si="11"/>
        <v>17.838243925775465</v>
      </c>
    </row>
    <row r="26" spans="1:16">
      <c r="D26" s="36"/>
      <c r="E26" s="9"/>
      <c r="F26" s="36"/>
      <c r="G26" s="36"/>
      <c r="H26" s="36"/>
      <c r="I26" s="36"/>
      <c r="J26" s="38"/>
      <c r="K26" s="38"/>
      <c r="L26" s="38"/>
      <c r="M26" s="38"/>
      <c r="N26" s="38"/>
      <c r="O26" s="38"/>
      <c r="P26" s="92"/>
    </row>
    <row r="27" spans="1:16">
      <c r="D27" s="36"/>
      <c r="E27" s="9"/>
      <c r="F27" s="9"/>
      <c r="G27" s="36"/>
      <c r="H27" s="9"/>
      <c r="I27" s="36"/>
      <c r="J27" s="36"/>
      <c r="K27" s="36"/>
      <c r="L27" s="9"/>
      <c r="M27" s="36"/>
      <c r="N27" s="36"/>
      <c r="O27" s="36"/>
      <c r="P27" s="88"/>
    </row>
    <row r="28" spans="1:16">
      <c r="D28" s="36"/>
      <c r="E28" s="9"/>
      <c r="F28" s="9"/>
      <c r="G28" s="36"/>
      <c r="H28" s="9"/>
      <c r="I28" s="36"/>
      <c r="J28" s="36"/>
      <c r="K28" s="36"/>
      <c r="L28" s="9"/>
      <c r="M28" s="36"/>
      <c r="N28" s="36"/>
      <c r="O28" s="36"/>
      <c r="P28" s="88"/>
    </row>
    <row r="29" spans="1:16">
      <c r="D29" s="36"/>
      <c r="E29" s="9"/>
      <c r="F29" s="9"/>
      <c r="G29" s="36"/>
      <c r="H29" s="9"/>
      <c r="I29" s="36"/>
      <c r="J29" s="36"/>
      <c r="K29" s="36"/>
      <c r="L29" s="9"/>
      <c r="M29" s="36"/>
      <c r="N29" s="36"/>
      <c r="O29" s="36"/>
      <c r="P29" s="88"/>
    </row>
    <row r="30" spans="1:16">
      <c r="H30" s="57" t="s">
        <v>380</v>
      </c>
      <c r="I30" s="90"/>
      <c r="J30" s="90"/>
      <c r="K30" s="91"/>
    </row>
    <row r="31" spans="1:16">
      <c r="O31" s="186" t="s">
        <v>407</v>
      </c>
      <c r="P31" s="186"/>
    </row>
    <row r="32" spans="1:16">
      <c r="D32" s="2"/>
      <c r="E32" s="2"/>
      <c r="F32" s="2"/>
      <c r="G32" s="2"/>
      <c r="H32" s="2"/>
      <c r="I32" s="2"/>
      <c r="J32" s="2"/>
      <c r="K32" s="4" t="s">
        <v>111</v>
      </c>
      <c r="L32" s="2"/>
      <c r="M32" s="2"/>
      <c r="N32" s="2"/>
      <c r="O32" s="89">
        <v>1.25</v>
      </c>
      <c r="P32" s="89" t="s">
        <v>394</v>
      </c>
    </row>
    <row r="33" spans="1:16">
      <c r="D33" s="2"/>
      <c r="E33" s="2"/>
      <c r="F33" s="2"/>
      <c r="G33" s="2"/>
      <c r="H33" s="2"/>
      <c r="I33" s="2"/>
      <c r="J33" s="2"/>
      <c r="K33" s="4">
        <v>1.34</v>
      </c>
      <c r="M33" s="2" t="s">
        <v>113</v>
      </c>
      <c r="N33" s="2" t="s">
        <v>113</v>
      </c>
      <c r="O33" s="89" t="s">
        <v>116</v>
      </c>
    </row>
    <row r="34" spans="1:16">
      <c r="A34" s="5" t="s">
        <v>249</v>
      </c>
      <c r="B34" s="5">
        <v>13</v>
      </c>
      <c r="D34" s="11" t="s">
        <v>425</v>
      </c>
      <c r="E34" s="12" t="s">
        <v>426</v>
      </c>
      <c r="F34" s="12" t="s">
        <v>427</v>
      </c>
      <c r="G34" s="12" t="s">
        <v>302</v>
      </c>
      <c r="H34" s="12" t="s">
        <v>48</v>
      </c>
      <c r="I34" s="13" t="s">
        <v>43</v>
      </c>
      <c r="J34" s="2" t="s">
        <v>303</v>
      </c>
      <c r="K34" s="2" t="s">
        <v>428</v>
      </c>
      <c r="L34" s="9" t="s">
        <v>112</v>
      </c>
      <c r="M34" s="9" t="s">
        <v>123</v>
      </c>
      <c r="N34" s="9" t="s">
        <v>252</v>
      </c>
      <c r="O34" s="89" t="s">
        <v>118</v>
      </c>
      <c r="P34" t="s">
        <v>383</v>
      </c>
    </row>
    <row r="35" spans="1:16">
      <c r="A35" s="5" t="s">
        <v>109</v>
      </c>
      <c r="B35" s="5">
        <v>6.5</v>
      </c>
      <c r="D35" s="35">
        <v>19.2</v>
      </c>
      <c r="E35" s="9">
        <f t="shared" ref="E35:E44" si="12">(0.5+(0.00000036*$B$38*$B$19^3*($B$35*0.0254)*($B$34*0.0254)^4)*($B$20+$B$21)*$D35-(0.25-(0.00000036*$B$38*$B$19^3*($B$35*0.0254)*($B$34*0.0254)^4)*(($B$20+$B$21)^2*$B$14-($B$20+$B$21)*$D35))^(1/2))/((0.00000036*$B$38*$B$19^3*($B$35*0.0254)*($B$34*0.0254)^4)*($B$20+$B$21)^2)</f>
        <v>12.995709674329285</v>
      </c>
      <c r="F35" s="36">
        <f t="shared" ref="F35:F44" si="13">D35*E35</f>
        <v>249.51762574712228</v>
      </c>
      <c r="G35" s="36">
        <f t="shared" ref="G35:G44" si="14">(D35-($B$20+$B$21)*E35)*(E35-$B$14)</f>
        <v>199.33577515475631</v>
      </c>
      <c r="H35" s="9">
        <f t="shared" ref="H35:H44" si="15">G35/F35*100</f>
        <v>79.888454596300306</v>
      </c>
      <c r="I35" s="37">
        <f t="shared" ref="I35:I44" si="16">$B$19*(D35-(E35*($B$20+$B$21)))</f>
        <v>6432.4118712643876</v>
      </c>
      <c r="J35" s="38">
        <f t="shared" ref="J35:J44" si="17">(($B$34*0.0254)^4)*($B$35*0.0254)*(I35^3)*2*$B$38*0.00000018</f>
        <v>199.33577515475611</v>
      </c>
      <c r="K35" s="36">
        <f t="shared" ref="K35:K44" si="18">$K$33*0.6*((0.6*3.1416*($B$34*0.0254)^2*J35^2)^(1/3))/9.81*1000</f>
        <v>1650.4256569618317</v>
      </c>
      <c r="L35" s="2">
        <f t="shared" ref="L35:L44" si="19">K35/F35</f>
        <v>6.6144652187195891</v>
      </c>
      <c r="M35" s="38">
        <f t="shared" ref="M35:M44" si="20">1.30652287/($B$34*0.0254)*POWER(K35*0.00981,3/2)</f>
        <v>257.77298933858742</v>
      </c>
      <c r="N35" s="38">
        <f t="shared" ref="N35:N44" si="21">POWER(I35/$B$37,3)*100</f>
        <v>230.4276818029054</v>
      </c>
      <c r="O35" s="38">
        <f t="shared" ref="O35:O44" si="22">0.65*60*O$10/E35</f>
        <v>6.0019808040245106</v>
      </c>
      <c r="P35" s="33">
        <f t="shared" ref="P35:P44" si="23">($B$20*$B$14+SQRT($B$20^2*$B$14^2+4*$B$20*($R$9-(D35*$B$14))))/(2*$B$20)</f>
        <v>17.169795493721907</v>
      </c>
    </row>
    <row r="36" spans="1:16">
      <c r="A36" s="10"/>
      <c r="B36" s="5"/>
      <c r="D36" s="56">
        <v>19.100000000000001</v>
      </c>
      <c r="E36" s="9">
        <f t="shared" si="12"/>
        <v>12.883366462940909</v>
      </c>
      <c r="F36" s="36">
        <f t="shared" si="13"/>
        <v>246.07229944217138</v>
      </c>
      <c r="G36" s="36">
        <f t="shared" si="14"/>
        <v>196.63203267241155</v>
      </c>
      <c r="H36" s="36">
        <f t="shared" si="15"/>
        <v>79.908235554413295</v>
      </c>
      <c r="I36" s="37">
        <f t="shared" si="16"/>
        <v>6403.1968195576737</v>
      </c>
      <c r="J36" s="38">
        <f t="shared" si="17"/>
        <v>196.63203267241136</v>
      </c>
      <c r="K36" s="63">
        <f t="shared" si="18"/>
        <v>1635.4677301200279</v>
      </c>
      <c r="L36" s="38">
        <f t="shared" si="19"/>
        <v>6.6462894597543825</v>
      </c>
      <c r="M36" s="38">
        <f t="shared" si="20"/>
        <v>254.27661854646726</v>
      </c>
      <c r="N36" s="38">
        <f t="shared" si="21"/>
        <v>227.3022161813177</v>
      </c>
      <c r="O36" s="38">
        <f t="shared" si="22"/>
        <v>6.0543181958199765</v>
      </c>
      <c r="P36" s="34">
        <f t="shared" si="23"/>
        <v>17.177203559831828</v>
      </c>
    </row>
    <row r="37" spans="1:16">
      <c r="A37" s="4" t="s">
        <v>14</v>
      </c>
      <c r="B37" s="4">
        <v>4870</v>
      </c>
      <c r="D37" s="56">
        <v>18</v>
      </c>
      <c r="E37" s="9">
        <f t="shared" si="12"/>
        <v>11.67259767224799</v>
      </c>
      <c r="F37" s="36">
        <f t="shared" si="13"/>
        <v>210.10675810046382</v>
      </c>
      <c r="G37" s="36">
        <f t="shared" si="14"/>
        <v>168.28772342490694</v>
      </c>
      <c r="H37" s="9">
        <f t="shared" si="15"/>
        <v>80.096292449783618</v>
      </c>
      <c r="I37" s="37">
        <f t="shared" si="16"/>
        <v>6079.4306234641926</v>
      </c>
      <c r="J37" s="38">
        <f t="shared" si="17"/>
        <v>168.28772342490714</v>
      </c>
      <c r="K37" s="64">
        <f t="shared" si="18"/>
        <v>1474.2600276722587</v>
      </c>
      <c r="L37" s="2">
        <f t="shared" si="19"/>
        <v>7.0167187433701317</v>
      </c>
      <c r="M37" s="38">
        <f t="shared" si="20"/>
        <v>217.62290036771006</v>
      </c>
      <c r="N37" s="38">
        <f t="shared" si="21"/>
        <v>194.53683090546144</v>
      </c>
      <c r="O37" s="38">
        <f t="shared" si="22"/>
        <v>6.6823171833847859</v>
      </c>
      <c r="P37" s="34">
        <f t="shared" si="23"/>
        <v>17.258478705355618</v>
      </c>
    </row>
    <row r="38" spans="1:16">
      <c r="A38" s="4" t="s">
        <v>110</v>
      </c>
      <c r="B38" s="4">
        <v>1.06</v>
      </c>
      <c r="D38" s="56">
        <v>16</v>
      </c>
      <c r="E38" s="9">
        <f t="shared" si="12"/>
        <v>9.5935216180173715</v>
      </c>
      <c r="F38" s="36">
        <f t="shared" si="13"/>
        <v>153.49634588827794</v>
      </c>
      <c r="G38" s="36">
        <f t="shared" si="14"/>
        <v>123.18925531278445</v>
      </c>
      <c r="H38" s="36">
        <f t="shared" si="15"/>
        <v>80.255497028214307</v>
      </c>
      <c r="I38" s="37">
        <f t="shared" si="16"/>
        <v>5479.0219246703327</v>
      </c>
      <c r="J38" s="38">
        <f t="shared" si="17"/>
        <v>123.18925531278433</v>
      </c>
      <c r="K38" s="64">
        <f t="shared" si="18"/>
        <v>1197.4416322089198</v>
      </c>
      <c r="L38" s="38">
        <f t="shared" si="19"/>
        <v>7.8011083930328589</v>
      </c>
      <c r="M38" s="38">
        <f t="shared" si="20"/>
        <v>159.30337929414685</v>
      </c>
      <c r="N38" s="38">
        <f t="shared" si="21"/>
        <v>142.40401404471046</v>
      </c>
      <c r="O38" s="38">
        <f t="shared" si="22"/>
        <v>8.1304867081875329</v>
      </c>
      <c r="P38" s="34">
        <f t="shared" si="23"/>
        <v>17.40526234817812</v>
      </c>
    </row>
    <row r="39" spans="1:16">
      <c r="A39" s="5"/>
      <c r="B39" s="5"/>
      <c r="D39" s="56">
        <v>14</v>
      </c>
      <c r="E39" s="9">
        <f t="shared" si="12"/>
        <v>7.6831726451366311</v>
      </c>
      <c r="F39" s="36">
        <f t="shared" si="13"/>
        <v>107.56441703191284</v>
      </c>
      <c r="G39" s="36">
        <f t="shared" si="14"/>
        <v>86.103319838018308</v>
      </c>
      <c r="H39" s="9">
        <f t="shared" si="15"/>
        <v>80.048144371453873</v>
      </c>
      <c r="I39" s="37">
        <f t="shared" si="16"/>
        <v>4862.4154260668829</v>
      </c>
      <c r="J39" s="38">
        <f t="shared" si="17"/>
        <v>86.103319838018052</v>
      </c>
      <c r="K39" s="64">
        <f t="shared" si="18"/>
        <v>943.08838891519292</v>
      </c>
      <c r="L39" s="2">
        <f t="shared" si="19"/>
        <v>8.7676614157207027</v>
      </c>
      <c r="M39" s="38">
        <f t="shared" si="20"/>
        <v>111.34534244739078</v>
      </c>
      <c r="N39" s="38">
        <f t="shared" si="21"/>
        <v>99.5335050640318</v>
      </c>
      <c r="O39" s="38">
        <f t="shared" si="22"/>
        <v>10.152056136519748</v>
      </c>
      <c r="P39" s="34">
        <f t="shared" si="23"/>
        <v>17.550797083033583</v>
      </c>
    </row>
    <row r="40" spans="1:16">
      <c r="A40" s="5"/>
      <c r="B40" s="5"/>
      <c r="D40" s="56">
        <v>12.2</v>
      </c>
      <c r="E40" s="9">
        <f t="shared" si="12"/>
        <v>6.1200121225624784</v>
      </c>
      <c r="F40" s="36">
        <f t="shared" si="13"/>
        <v>74.664147895262232</v>
      </c>
      <c r="G40" s="36">
        <f t="shared" si="14"/>
        <v>59.236338029636428</v>
      </c>
      <c r="H40" s="9">
        <f t="shared" si="15"/>
        <v>79.337057609941908</v>
      </c>
      <c r="I40" s="37">
        <f t="shared" si="16"/>
        <v>4292.4788362340014</v>
      </c>
      <c r="J40" s="38">
        <f t="shared" si="17"/>
        <v>59.236338029636244</v>
      </c>
      <c r="K40" s="65">
        <f t="shared" si="18"/>
        <v>734.96152081428829</v>
      </c>
      <c r="L40" s="2">
        <f t="shared" si="19"/>
        <v>9.8435667121692934</v>
      </c>
      <c r="M40" s="38">
        <f t="shared" si="20"/>
        <v>76.602044562827473</v>
      </c>
      <c r="N40" s="38">
        <f t="shared" si="21"/>
        <v>68.475877147819077</v>
      </c>
      <c r="O40" s="38">
        <f t="shared" si="22"/>
        <v>12.745072793637053</v>
      </c>
      <c r="P40" s="34">
        <f t="shared" si="23"/>
        <v>17.680736463107657</v>
      </c>
    </row>
    <row r="41" spans="1:16">
      <c r="A41" s="5"/>
      <c r="B41" s="5"/>
      <c r="D41" s="56">
        <v>11</v>
      </c>
      <c r="E41" s="9">
        <f t="shared" si="12"/>
        <v>5.1661859359162383</v>
      </c>
      <c r="F41" s="36">
        <f t="shared" si="13"/>
        <v>56.828045295078624</v>
      </c>
      <c r="G41" s="36">
        <f t="shared" si="14"/>
        <v>44.566501559980466</v>
      </c>
      <c r="H41" s="36">
        <f t="shared" si="15"/>
        <v>78.423428658454981</v>
      </c>
      <c r="I41" s="37">
        <f t="shared" si="16"/>
        <v>3904.0461501520413</v>
      </c>
      <c r="J41" s="38">
        <f t="shared" si="17"/>
        <v>44.566501559980694</v>
      </c>
      <c r="K41" s="64">
        <f t="shared" si="18"/>
        <v>607.96441842304193</v>
      </c>
      <c r="L41" s="38">
        <f t="shared" si="19"/>
        <v>10.698316566515659</v>
      </c>
      <c r="M41" s="38">
        <f t="shared" si="20"/>
        <v>57.631603371548302</v>
      </c>
      <c r="N41" s="38">
        <f t="shared" si="21"/>
        <v>51.517875466956262</v>
      </c>
      <c r="O41" s="38">
        <f t="shared" si="22"/>
        <v>15.098178998500655</v>
      </c>
      <c r="P41" s="34">
        <f t="shared" si="23"/>
        <v>17.76682569902156</v>
      </c>
    </row>
    <row r="42" spans="1:16">
      <c r="A42" s="5"/>
      <c r="B42" s="5"/>
      <c r="D42" s="56">
        <v>10.5</v>
      </c>
      <c r="E42" s="9">
        <f t="shared" si="12"/>
        <v>4.790715012978688</v>
      </c>
      <c r="F42" s="36">
        <f t="shared" si="13"/>
        <v>50.302507636276225</v>
      </c>
      <c r="G42" s="36">
        <f t="shared" si="14"/>
        <v>39.184142517606105</v>
      </c>
      <c r="H42" s="9">
        <f t="shared" si="15"/>
        <v>77.896996310673018</v>
      </c>
      <c r="I42" s="37">
        <f t="shared" si="16"/>
        <v>3740.0913587540458</v>
      </c>
      <c r="J42" s="38">
        <f t="shared" si="17"/>
        <v>39.184142517605864</v>
      </c>
      <c r="K42" s="64">
        <f t="shared" si="18"/>
        <v>557.97237593896523</v>
      </c>
      <c r="L42" s="2">
        <f t="shared" si="19"/>
        <v>11.092337184728681</v>
      </c>
      <c r="M42" s="38">
        <f t="shared" si="20"/>
        <v>50.671353617236093</v>
      </c>
      <c r="N42" s="38">
        <f t="shared" si="21"/>
        <v>45.295989226001979</v>
      </c>
      <c r="O42" s="38">
        <f t="shared" si="22"/>
        <v>16.281494471845551</v>
      </c>
      <c r="P42" s="34">
        <f t="shared" si="23"/>
        <v>17.802571239677899</v>
      </c>
    </row>
    <row r="43" spans="1:16">
      <c r="A43" s="5"/>
      <c r="B43" s="5"/>
      <c r="D43" s="56">
        <v>9.8000000000000007</v>
      </c>
      <c r="E43" s="9">
        <f t="shared" si="12"/>
        <v>4.2875698174428836</v>
      </c>
      <c r="F43" s="36">
        <f t="shared" si="13"/>
        <v>42.018184210940262</v>
      </c>
      <c r="G43" s="36">
        <f t="shared" si="14"/>
        <v>32.343613079184706</v>
      </c>
      <c r="H43" s="9">
        <f t="shared" si="15"/>
        <v>76.975275554062165</v>
      </c>
      <c r="I43" s="37">
        <f t="shared" si="16"/>
        <v>3508.3932975254834</v>
      </c>
      <c r="J43" s="38">
        <f t="shared" si="17"/>
        <v>32.343613079184664</v>
      </c>
      <c r="K43" s="66">
        <f t="shared" si="18"/>
        <v>490.98115383822102</v>
      </c>
      <c r="L43" s="2">
        <f t="shared" si="19"/>
        <v>11.684968378771218</v>
      </c>
      <c r="M43" s="38">
        <f t="shared" si="20"/>
        <v>41.825456684628335</v>
      </c>
      <c r="N43" s="38">
        <f t="shared" si="21"/>
        <v>37.388490737202375</v>
      </c>
      <c r="O43" s="38">
        <f t="shared" si="22"/>
        <v>18.192123585411228</v>
      </c>
      <c r="P43" s="34">
        <f t="shared" si="23"/>
        <v>17.852492700468499</v>
      </c>
    </row>
    <row r="44" spans="1:16">
      <c r="D44" s="60">
        <v>8.2100000000000009</v>
      </c>
      <c r="E44" s="17">
        <f t="shared" si="12"/>
        <v>3.2467477842961743</v>
      </c>
      <c r="F44" s="61">
        <f t="shared" si="13"/>
        <v>26.655799309071593</v>
      </c>
      <c r="G44" s="61">
        <f t="shared" si="14"/>
        <v>19.667401908050532</v>
      </c>
      <c r="H44" s="17">
        <f t="shared" si="15"/>
        <v>73.78282556830797</v>
      </c>
      <c r="I44" s="62">
        <f t="shared" si="16"/>
        <v>2972.3122127075676</v>
      </c>
      <c r="J44" s="38">
        <f t="shared" si="17"/>
        <v>19.667401908050518</v>
      </c>
      <c r="K44" s="36">
        <f t="shared" si="18"/>
        <v>352.40099723823579</v>
      </c>
      <c r="L44" s="2">
        <f t="shared" si="19"/>
        <v>13.220425062185454</v>
      </c>
      <c r="M44" s="38">
        <f t="shared" si="20"/>
        <v>25.433091367697017</v>
      </c>
      <c r="N44" s="38">
        <f t="shared" si="21"/>
        <v>22.735075152665043</v>
      </c>
      <c r="O44" s="38">
        <f t="shared" si="22"/>
        <v>24.024040418929165</v>
      </c>
      <c r="P44" s="34">
        <f t="shared" si="23"/>
        <v>17.965361587015419</v>
      </c>
    </row>
    <row r="46" spans="1:16">
      <c r="D46" s="36"/>
      <c r="E46" s="9"/>
      <c r="F46" s="9"/>
      <c r="G46" s="36"/>
      <c r="H46" s="9"/>
      <c r="I46" s="36"/>
      <c r="J46" s="36"/>
      <c r="K46" s="36"/>
      <c r="L46" s="9"/>
      <c r="M46" s="36"/>
      <c r="N46" s="36"/>
      <c r="O46" s="36"/>
      <c r="P46" s="88"/>
    </row>
    <row r="47" spans="1:16">
      <c r="D47" s="36"/>
      <c r="E47" s="9"/>
      <c r="F47" s="9"/>
      <c r="G47" s="36"/>
      <c r="H47" s="9"/>
      <c r="I47" s="36"/>
      <c r="J47" s="36"/>
      <c r="K47" s="36"/>
      <c r="L47" s="9"/>
      <c r="M47" s="36"/>
      <c r="N47" s="36"/>
      <c r="O47" s="36"/>
      <c r="P47" s="88"/>
    </row>
    <row r="49" spans="1:16">
      <c r="H49" s="57" t="s">
        <v>281</v>
      </c>
      <c r="I49" s="90"/>
      <c r="J49" s="90"/>
      <c r="K49" s="91"/>
    </row>
    <row r="50" spans="1:16">
      <c r="O50" s="186" t="s">
        <v>407</v>
      </c>
      <c r="P50" s="186"/>
    </row>
    <row r="51" spans="1:16">
      <c r="D51" s="2"/>
      <c r="E51" s="2"/>
      <c r="F51" s="2"/>
      <c r="G51" s="2"/>
      <c r="H51" s="2"/>
      <c r="I51" s="2"/>
      <c r="J51" s="2"/>
      <c r="K51" s="4" t="s">
        <v>111</v>
      </c>
      <c r="L51" s="2"/>
      <c r="M51" s="2"/>
      <c r="N51" s="2"/>
      <c r="O51" s="89">
        <v>1.25</v>
      </c>
      <c r="P51" s="89" t="s">
        <v>394</v>
      </c>
    </row>
    <row r="52" spans="1:16">
      <c r="D52" s="2"/>
      <c r="E52" s="2"/>
      <c r="F52" s="2"/>
      <c r="G52" s="2"/>
      <c r="H52" s="2"/>
      <c r="I52" s="2"/>
      <c r="J52" s="2"/>
      <c r="K52" s="4">
        <v>1.165</v>
      </c>
      <c r="M52" s="2" t="s">
        <v>113</v>
      </c>
      <c r="N52" s="2" t="s">
        <v>113</v>
      </c>
      <c r="O52" s="89" t="s">
        <v>116</v>
      </c>
    </row>
    <row r="53" spans="1:16">
      <c r="A53" s="5" t="s">
        <v>249</v>
      </c>
      <c r="B53" s="5">
        <v>14</v>
      </c>
      <c r="D53" s="11" t="s">
        <v>425</v>
      </c>
      <c r="E53" s="12" t="s">
        <v>426</v>
      </c>
      <c r="F53" s="12" t="s">
        <v>427</v>
      </c>
      <c r="G53" s="12" t="s">
        <v>302</v>
      </c>
      <c r="H53" s="12" t="s">
        <v>48</v>
      </c>
      <c r="I53" s="13" t="s">
        <v>43</v>
      </c>
      <c r="J53" s="2" t="s">
        <v>303</v>
      </c>
      <c r="K53" s="2" t="s">
        <v>428</v>
      </c>
      <c r="L53" s="9" t="s">
        <v>112</v>
      </c>
      <c r="M53" s="9" t="s">
        <v>123</v>
      </c>
      <c r="N53" s="9" t="s">
        <v>252</v>
      </c>
      <c r="O53" s="89" t="s">
        <v>118</v>
      </c>
      <c r="P53" t="s">
        <v>383</v>
      </c>
    </row>
    <row r="54" spans="1:16">
      <c r="A54" s="5" t="s">
        <v>109</v>
      </c>
      <c r="B54" s="5">
        <v>4.7</v>
      </c>
      <c r="D54" s="35">
        <v>20.399999999999999</v>
      </c>
      <c r="E54" s="9">
        <f t="shared" ref="E54:E63" si="24">(0.5+(0.00000036*$B$57*$B$19^3*($B$54*0.0254)*($B$53*0.0254)^4)*($B$20+$B$21)*$D54-(0.25-(0.00000036*$B$57*$B$19^3*($B$54*0.0254)*($B$53*0.0254)^4)*(($B$20+$B$21)^2*$B$14-($B$20+$B$21)*$D54))^(1/2))/((0.00000036*$B$57*$B$19^3*($B$54*0.0254)*($B$53*0.0254)^4)*($B$20+$B$21)^2)</f>
        <v>12.929346391314526</v>
      </c>
      <c r="F54" s="36">
        <f t="shared" ref="F54:F63" si="25">D54*E54</f>
        <v>263.75866638281633</v>
      </c>
      <c r="G54" s="36">
        <f t="shared" ref="G54:G63" si="26">(D54-($B$20+$B$21)*E54)*(E54-$B$14)</f>
        <v>213.26017271758212</v>
      </c>
      <c r="H54" s="9">
        <f t="shared" ref="H54:H63" si="27">G54/F54*100</f>
        <v>80.854280787141505</v>
      </c>
      <c r="I54" s="37">
        <f t="shared" ref="I54:I63" si="28">$B$19*(D54-(E54*($B$20+$B$21)))</f>
        <v>6918.7827464338061</v>
      </c>
      <c r="J54" s="38">
        <f t="shared" ref="J54:J63" si="29">(($B$53*0.0254)^4)*($B$54*0.0254)*(I54^3)*2*$B$57*0.00000018</f>
        <v>213.26017271758238</v>
      </c>
      <c r="K54" s="36">
        <f>$K$52*0.6*((0.6*3.1416*($B$53*0.0254)^2*J54^2)^(1/3))/9.81*1000</f>
        <v>1576.9692340157094</v>
      </c>
      <c r="L54" s="2">
        <f t="shared" ref="L54:L63" si="30">K54/F54</f>
        <v>5.9788338166940616</v>
      </c>
      <c r="M54" s="38">
        <f t="shared" ref="M54:M63" si="31">1.30652287/($B$53*0.0254)*POWER(K54*0.00981,3/2)</f>
        <v>223.55974510255928</v>
      </c>
      <c r="N54" s="38">
        <f t="shared" ref="N54:N63" si="32">POWER(I54/$B$56,3)*100</f>
        <v>235.54779890539757</v>
      </c>
      <c r="O54" s="38">
        <f t="shared" ref="O54:O63" si="33">0.65*60*O$10/E54</f>
        <v>6.0327875547055969</v>
      </c>
      <c r="P54" s="33">
        <f t="shared" ref="P54:P63" si="34">($B$20*$B$14+SQRT($B$20^2*$B$14^2+4*$B$20*($R$9-(D54*$B$14))))/(2*$B$20)</f>
        <v>17.080643611018026</v>
      </c>
    </row>
    <row r="55" spans="1:16">
      <c r="A55" s="10"/>
      <c r="B55" s="5"/>
      <c r="D55" s="56">
        <v>20.3</v>
      </c>
      <c r="E55" s="9">
        <f t="shared" si="24"/>
        <v>12.823298434828743</v>
      </c>
      <c r="F55" s="36">
        <f t="shared" si="25"/>
        <v>260.3129582270235</v>
      </c>
      <c r="G55" s="36">
        <f t="shared" si="26"/>
        <v>210.51463734195534</v>
      </c>
      <c r="H55" s="36">
        <f t="shared" si="27"/>
        <v>80.869826371978689</v>
      </c>
      <c r="I55" s="37">
        <f t="shared" si="28"/>
        <v>6888.9633502564411</v>
      </c>
      <c r="J55" s="38">
        <f t="shared" si="29"/>
        <v>210.51463734195389</v>
      </c>
      <c r="K55" s="63">
        <f t="shared" ref="K55:K63" si="35">$K$52*0.6*((0.6*3.1416*($B$53*0.0254)^2*J55^2)^(1/3))/9.81*1000</f>
        <v>1563.4053061803872</v>
      </c>
      <c r="L55" s="38">
        <f t="shared" si="30"/>
        <v>6.0058681551185558</v>
      </c>
      <c r="M55" s="38">
        <f t="shared" si="31"/>
        <v>220.68161187719406</v>
      </c>
      <c r="N55" s="38">
        <f t="shared" si="32"/>
        <v>232.51533013119933</v>
      </c>
      <c r="O55" s="38">
        <f t="shared" si="33"/>
        <v>6.0826783683165289</v>
      </c>
      <c r="P55" s="34">
        <f t="shared" si="34"/>
        <v>17.088091017146649</v>
      </c>
    </row>
    <row r="56" spans="1:16">
      <c r="A56" s="4" t="s">
        <v>14</v>
      </c>
      <c r="B56" s="4">
        <v>5200</v>
      </c>
      <c r="D56" s="56">
        <v>18</v>
      </c>
      <c r="E56" s="9">
        <f t="shared" si="24"/>
        <v>10.48095625757812</v>
      </c>
      <c r="F56" s="36">
        <f t="shared" si="25"/>
        <v>188.65721263640614</v>
      </c>
      <c r="G56" s="36">
        <f t="shared" si="26"/>
        <v>153.00236375991361</v>
      </c>
      <c r="H56" s="9">
        <f t="shared" si="27"/>
        <v>81.100723169694476</v>
      </c>
      <c r="I56" s="37">
        <f t="shared" si="28"/>
        <v>6193.8281992725006</v>
      </c>
      <c r="J56" s="38">
        <f t="shared" si="29"/>
        <v>153.00236375991355</v>
      </c>
      <c r="K56" s="64">
        <f t="shared" si="35"/>
        <v>1263.8110347708671</v>
      </c>
      <c r="L56" s="2">
        <f t="shared" si="30"/>
        <v>6.6989807445452687</v>
      </c>
      <c r="M56" s="38">
        <f t="shared" si="31"/>
        <v>160.39173656467381</v>
      </c>
      <c r="N56" s="38">
        <f t="shared" si="32"/>
        <v>168.99250128010104</v>
      </c>
      <c r="O56" s="38">
        <f t="shared" si="33"/>
        <v>7.4420690329284707</v>
      </c>
      <c r="P56" s="34">
        <f t="shared" si="34"/>
        <v>17.258478705355618</v>
      </c>
    </row>
    <row r="57" spans="1:16">
      <c r="A57" s="4" t="s">
        <v>110</v>
      </c>
      <c r="B57" s="4">
        <v>0.93700000000000006</v>
      </c>
      <c r="D57" s="56">
        <v>16</v>
      </c>
      <c r="E57" s="9">
        <f t="shared" si="24"/>
        <v>8.6026999889319455</v>
      </c>
      <c r="F57" s="36">
        <f t="shared" si="25"/>
        <v>137.64319982291113</v>
      </c>
      <c r="G57" s="36">
        <f t="shared" si="26"/>
        <v>111.52044131742062</v>
      </c>
      <c r="H57" s="36">
        <f t="shared" si="27"/>
        <v>81.021395507297484</v>
      </c>
      <c r="I57" s="37">
        <f t="shared" si="28"/>
        <v>5574.1408010625337</v>
      </c>
      <c r="J57" s="38">
        <f t="shared" si="29"/>
        <v>111.52044131742066</v>
      </c>
      <c r="K57" s="64">
        <f t="shared" si="35"/>
        <v>1023.5750761689815</v>
      </c>
      <c r="L57" s="38">
        <f t="shared" si="30"/>
        <v>7.4364376699022676</v>
      </c>
      <c r="M57" s="38">
        <f t="shared" si="31"/>
        <v>116.90641115471624</v>
      </c>
      <c r="N57" s="38">
        <f t="shared" si="32"/>
        <v>123.17534094874752</v>
      </c>
      <c r="O57" s="38">
        <f t="shared" si="33"/>
        <v>9.0669208620959907</v>
      </c>
      <c r="P57" s="34">
        <f t="shared" si="34"/>
        <v>17.40526234817812</v>
      </c>
    </row>
    <row r="58" spans="1:16">
      <c r="A58" s="5"/>
      <c r="B58" s="5"/>
      <c r="D58" s="56">
        <v>14</v>
      </c>
      <c r="E58" s="9">
        <f t="shared" si="24"/>
        <v>6.8833774166546551</v>
      </c>
      <c r="F58" s="36">
        <f t="shared" si="25"/>
        <v>96.367283833165175</v>
      </c>
      <c r="G58" s="36">
        <f t="shared" si="26"/>
        <v>77.587077862736734</v>
      </c>
      <c r="H58" s="9">
        <f t="shared" si="27"/>
        <v>80.511844659914388</v>
      </c>
      <c r="I58" s="37">
        <f t="shared" si="28"/>
        <v>4939.1957680011528</v>
      </c>
      <c r="J58" s="38">
        <f t="shared" si="29"/>
        <v>77.587077862737345</v>
      </c>
      <c r="K58" s="64">
        <f t="shared" si="35"/>
        <v>803.66732811998804</v>
      </c>
      <c r="L58" s="2">
        <f t="shared" si="30"/>
        <v>8.3396283069607779</v>
      </c>
      <c r="M58" s="38">
        <f t="shared" si="31"/>
        <v>81.334208489159337</v>
      </c>
      <c r="N58" s="38">
        <f t="shared" si="32"/>
        <v>85.695632621809011</v>
      </c>
      <c r="O58" s="38">
        <f t="shared" si="33"/>
        <v>11.33164655642379</v>
      </c>
      <c r="P58" s="34">
        <f t="shared" si="34"/>
        <v>17.550797083033583</v>
      </c>
    </row>
    <row r="59" spans="1:16">
      <c r="A59" s="5"/>
      <c r="B59" s="5"/>
      <c r="D59" s="56">
        <v>13.4</v>
      </c>
      <c r="E59" s="9">
        <f t="shared" si="24"/>
        <v>6.4003778586813</v>
      </c>
      <c r="F59" s="36">
        <f t="shared" si="25"/>
        <v>85.765063306329424</v>
      </c>
      <c r="G59" s="36">
        <f t="shared" si="26"/>
        <v>68.815156901844063</v>
      </c>
      <c r="H59" s="9">
        <f t="shared" si="27"/>
        <v>80.236817007940729</v>
      </c>
      <c r="I59" s="37">
        <f t="shared" si="28"/>
        <v>4745.5637255665952</v>
      </c>
      <c r="J59" s="38">
        <f t="shared" si="29"/>
        <v>68.815156901843935</v>
      </c>
      <c r="K59" s="65">
        <f t="shared" si="35"/>
        <v>741.88988925235867</v>
      </c>
      <c r="L59" s="2">
        <f t="shared" si="30"/>
        <v>8.6502575833533779</v>
      </c>
      <c r="M59" s="38">
        <f t="shared" si="31"/>
        <v>72.138640516539752</v>
      </c>
      <c r="N59" s="38">
        <f t="shared" si="32"/>
        <v>76.006966200035038</v>
      </c>
      <c r="O59" s="38">
        <f t="shared" si="33"/>
        <v>12.186780487374335</v>
      </c>
      <c r="P59" s="34">
        <f t="shared" si="34"/>
        <v>17.594218687179826</v>
      </c>
    </row>
    <row r="60" spans="1:16">
      <c r="A60" s="5"/>
      <c r="B60" s="5"/>
      <c r="D60" s="56">
        <v>12</v>
      </c>
      <c r="E60" s="9">
        <f t="shared" si="24"/>
        <v>5.3353402743873195</v>
      </c>
      <c r="F60" s="36">
        <f t="shared" si="25"/>
        <v>64.02408329264783</v>
      </c>
      <c r="G60" s="36">
        <f t="shared" si="26"/>
        <v>50.760566889719769</v>
      </c>
      <c r="H60" s="36">
        <f t="shared" si="27"/>
        <v>79.2835512500791</v>
      </c>
      <c r="I60" s="37">
        <f t="shared" si="28"/>
        <v>4287.8073336588177</v>
      </c>
      <c r="J60" s="38">
        <f t="shared" si="29"/>
        <v>50.76056688971957</v>
      </c>
      <c r="K60" s="64">
        <f t="shared" si="35"/>
        <v>605.66762327034473</v>
      </c>
      <c r="L60" s="38">
        <f t="shared" si="30"/>
        <v>9.4599968031076251</v>
      </c>
      <c r="M60" s="38">
        <f t="shared" si="31"/>
        <v>53.21208948918536</v>
      </c>
      <c r="N60" s="38">
        <f t="shared" si="32"/>
        <v>56.065507448957817</v>
      </c>
      <c r="O60" s="38">
        <f t="shared" si="33"/>
        <v>14.619498661490168</v>
      </c>
      <c r="P60" s="34">
        <f t="shared" si="34"/>
        <v>17.695114256595154</v>
      </c>
    </row>
    <row r="61" spans="1:16">
      <c r="A61" s="5"/>
      <c r="B61" s="5"/>
      <c r="D61" s="56">
        <v>11</v>
      </c>
      <c r="E61" s="9">
        <f t="shared" si="24"/>
        <v>4.629866432064647</v>
      </c>
      <c r="F61" s="36">
        <f t="shared" si="25"/>
        <v>50.928530752711119</v>
      </c>
      <c r="G61" s="36">
        <f t="shared" si="26"/>
        <v>39.850672356026266</v>
      </c>
      <c r="H61" s="9">
        <f t="shared" si="27"/>
        <v>78.248227009582166</v>
      </c>
      <c r="I61" s="37">
        <f t="shared" si="28"/>
        <v>3955.5328225217941</v>
      </c>
      <c r="J61" s="38">
        <f t="shared" si="29"/>
        <v>39.850672356025839</v>
      </c>
      <c r="K61" s="64">
        <f t="shared" si="35"/>
        <v>515.43489645447255</v>
      </c>
      <c r="L61" s="2">
        <f t="shared" si="30"/>
        <v>10.120749388142009</v>
      </c>
      <c r="M61" s="38">
        <f t="shared" si="31"/>
        <v>41.775292782290002</v>
      </c>
      <c r="N61" s="38">
        <f t="shared" si="32"/>
        <v>44.015429785817503</v>
      </c>
      <c r="O61" s="38">
        <f t="shared" si="33"/>
        <v>16.847138280232549</v>
      </c>
      <c r="P61" s="34">
        <f t="shared" si="34"/>
        <v>17.76682569902156</v>
      </c>
    </row>
    <row r="62" spans="1:16">
      <c r="A62" s="5"/>
      <c r="B62" s="5"/>
      <c r="D62" s="56">
        <v>10.75</v>
      </c>
      <c r="E62" s="9">
        <f t="shared" si="24"/>
        <v>4.4609562236887061</v>
      </c>
      <c r="F62" s="36">
        <f t="shared" si="25"/>
        <v>47.955279404653588</v>
      </c>
      <c r="G62" s="36">
        <f t="shared" si="26"/>
        <v>37.371625797744684</v>
      </c>
      <c r="H62" s="9">
        <f t="shared" si="27"/>
        <v>77.930159643941394</v>
      </c>
      <c r="I62" s="37">
        <f t="shared" si="28"/>
        <v>3871.7482025258846</v>
      </c>
      <c r="J62" s="38">
        <f t="shared" si="29"/>
        <v>37.371625797744564</v>
      </c>
      <c r="K62" s="66">
        <f t="shared" si="35"/>
        <v>493.8306529312606</v>
      </c>
      <c r="L62" s="2">
        <f t="shared" si="30"/>
        <v>10.297732784835764</v>
      </c>
      <c r="M62" s="38">
        <f t="shared" si="31"/>
        <v>39.176518667065601</v>
      </c>
      <c r="N62" s="38">
        <f t="shared" si="32"/>
        <v>41.277300332267572</v>
      </c>
      <c r="O62" s="38">
        <f t="shared" si="33"/>
        <v>17.485040446216892</v>
      </c>
      <c r="P62" s="34">
        <f t="shared" si="34"/>
        <v>17.784707604075052</v>
      </c>
    </row>
    <row r="63" spans="1:16">
      <c r="D63" s="60">
        <v>9.6999999999999993</v>
      </c>
      <c r="E63" s="17">
        <f t="shared" si="24"/>
        <v>3.7851690161255949</v>
      </c>
      <c r="F63" s="61">
        <f t="shared" si="25"/>
        <v>36.716139456418269</v>
      </c>
      <c r="G63" s="61">
        <f t="shared" si="26"/>
        <v>28.002602719387426</v>
      </c>
      <c r="H63" s="17">
        <f t="shared" si="27"/>
        <v>76.267829717299833</v>
      </c>
      <c r="I63" s="62">
        <f t="shared" si="28"/>
        <v>3516.6237744519426</v>
      </c>
      <c r="J63" s="38">
        <f t="shared" si="29"/>
        <v>28.002602719387912</v>
      </c>
      <c r="K63" s="36">
        <f t="shared" si="35"/>
        <v>407.39495705211493</v>
      </c>
      <c r="L63" s="2">
        <f t="shared" si="30"/>
        <v>11.095800459514246</v>
      </c>
      <c r="M63" s="38">
        <f t="shared" si="31"/>
        <v>29.355011047679145</v>
      </c>
      <c r="N63" s="38">
        <f t="shared" si="32"/>
        <v>30.92912919520634</v>
      </c>
      <c r="O63" s="38">
        <f t="shared" si="33"/>
        <v>20.606741645539216</v>
      </c>
      <c r="P63" s="34">
        <f t="shared" si="34"/>
        <v>17.859612751994277</v>
      </c>
    </row>
    <row r="67" spans="1:16">
      <c r="H67" s="57" t="s">
        <v>168</v>
      </c>
      <c r="I67" s="58"/>
      <c r="J67" s="58"/>
      <c r="K67" s="58"/>
      <c r="L67" s="58"/>
      <c r="M67" s="59"/>
    </row>
    <row r="68" spans="1:16">
      <c r="O68" s="186" t="s">
        <v>407</v>
      </c>
      <c r="P68" s="186"/>
    </row>
    <row r="69" spans="1:16">
      <c r="D69" s="2"/>
      <c r="E69" s="2"/>
      <c r="F69" s="2"/>
      <c r="G69" s="2"/>
      <c r="H69" s="2"/>
      <c r="I69" s="2"/>
      <c r="J69" s="2"/>
      <c r="K69" s="4" t="s">
        <v>111</v>
      </c>
      <c r="L69" s="2"/>
      <c r="M69" s="2"/>
      <c r="N69" s="2"/>
      <c r="O69" s="89">
        <v>1.25</v>
      </c>
      <c r="P69" s="89" t="s">
        <v>394</v>
      </c>
    </row>
    <row r="70" spans="1:16">
      <c r="D70" s="2"/>
      <c r="E70" s="2"/>
      <c r="F70" s="2"/>
      <c r="G70" s="2"/>
      <c r="H70" s="2"/>
      <c r="I70" s="2"/>
      <c r="J70" s="2"/>
      <c r="K70" s="4">
        <v>1.29</v>
      </c>
      <c r="M70" s="2" t="s">
        <v>113</v>
      </c>
      <c r="N70" s="2" t="s">
        <v>113</v>
      </c>
      <c r="O70" s="89" t="s">
        <v>116</v>
      </c>
    </row>
    <row r="71" spans="1:16">
      <c r="A71" s="5" t="s">
        <v>249</v>
      </c>
      <c r="B71" s="5">
        <v>15</v>
      </c>
      <c r="D71" s="11" t="s">
        <v>425</v>
      </c>
      <c r="E71" s="12" t="s">
        <v>426</v>
      </c>
      <c r="F71" s="12" t="s">
        <v>427</v>
      </c>
      <c r="G71" s="12" t="s">
        <v>302</v>
      </c>
      <c r="H71" s="12" t="s">
        <v>48</v>
      </c>
      <c r="I71" s="13" t="s">
        <v>43</v>
      </c>
      <c r="J71" s="2" t="s">
        <v>303</v>
      </c>
      <c r="K71" s="2" t="s">
        <v>428</v>
      </c>
      <c r="L71" s="9" t="s">
        <v>112</v>
      </c>
      <c r="M71" s="9" t="s">
        <v>123</v>
      </c>
      <c r="N71" s="9" t="s">
        <v>252</v>
      </c>
      <c r="O71" s="89" t="s">
        <v>118</v>
      </c>
      <c r="P71" t="s">
        <v>383</v>
      </c>
    </row>
    <row r="72" spans="1:16">
      <c r="A72" s="5" t="s">
        <v>109</v>
      </c>
      <c r="B72" s="5">
        <v>5</v>
      </c>
      <c r="D72" s="35">
        <v>15.7</v>
      </c>
      <c r="E72" s="9">
        <f t="shared" ref="E72:E79" si="36">(0.5+(0.00000036*$B$75*$B$19^3*($B$72*0.0254)*($B$71*0.0254)^4)*($B$20+$B$21)*$D72-(0.25-(0.00000036*$B$75*$B$19^3*($B$72*0.0254)*($B$71*0.0254)^4)*(($B$20+$B$21)^2*$B$14-($B$20+$B$21)*$D72))^(1/2))/((0.00000036*$B$75*$B$19^3*($B$72*0.0254)*($B$71*0.0254)^4)*($B$20+$B$21)^2)</f>
        <v>13.060864771562724</v>
      </c>
      <c r="F72" s="36">
        <f t="shared" ref="F72:F78" si="37">D72*E72</f>
        <v>205.05557691353474</v>
      </c>
      <c r="G72" s="36">
        <f t="shared" ref="G72:G78" si="38">(D72-($B$20+$B$21)*E72)*(E72-$B$14)</f>
        <v>156.57565618118821</v>
      </c>
      <c r="H72" s="9">
        <f t="shared" ref="H72:H78" si="39">G72/F72*100</f>
        <v>76.35766777862915</v>
      </c>
      <c r="I72" s="37">
        <f t="shared" ref="I72:I78" si="40">$B$19*(D72-(E72*($B$20+$B$21)))</f>
        <v>5026.1569819299784</v>
      </c>
      <c r="J72" s="38">
        <f t="shared" ref="J72:J78" si="41">(($B$71*0.0254)^4)*($B$72*0.0254)*(I72^3)*2*$B$75*0.00000018</f>
        <v>156.57565618118829</v>
      </c>
      <c r="K72" s="36">
        <f>$K$70*0.6*((0.6*3.1416*($B$71*0.0254)^2*J72^2)^(1/3))/9.81*1000</f>
        <v>1488.0087222618226</v>
      </c>
      <c r="L72" s="2">
        <f t="shared" ref="L72:L78" si="42">K72/F72</f>
        <v>7.2566118154848693</v>
      </c>
      <c r="M72" s="38">
        <f t="shared" ref="M72:M78" si="43">1.30652287/($B$71*0.0254)*POWER(K72*0.00981,3/2)</f>
        <v>191.25102305961627</v>
      </c>
      <c r="N72" s="38">
        <f t="shared" ref="N72:N78" si="44">POWER(I72/$B$74,3)*100</f>
        <v>130.44716688233447</v>
      </c>
      <c r="O72" s="38">
        <f t="shared" ref="O72:O78" si="45">0.65*60*O$10/E72</f>
        <v>5.9720394755046033</v>
      </c>
      <c r="P72" s="33">
        <f t="shared" ref="P72:P78" si="46">($B$20*$B$14+SQRT($B$20^2*$B$14^2+4*$B$20*($R$9-(D72*$B$14))))/(2*$B$20)</f>
        <v>17.427171395183734</v>
      </c>
    </row>
    <row r="73" spans="1:16">
      <c r="A73" s="10"/>
      <c r="B73" s="5"/>
      <c r="D73" s="56">
        <v>15.6</v>
      </c>
      <c r="E73" s="9">
        <f t="shared" si="36"/>
        <v>12.926737110261264</v>
      </c>
      <c r="F73" s="36">
        <f t="shared" si="37"/>
        <v>201.65709892007573</v>
      </c>
      <c r="G73" s="36">
        <f t="shared" si="38"/>
        <v>154.05442130767997</v>
      </c>
      <c r="H73" s="9">
        <f t="shared" si="39"/>
        <v>76.394246536660489</v>
      </c>
      <c r="I73" s="37">
        <f t="shared" si="40"/>
        <v>4999.0332374149184</v>
      </c>
      <c r="J73" s="38">
        <f t="shared" si="41"/>
        <v>154.05442130767989</v>
      </c>
      <c r="K73" s="63">
        <f t="shared" ref="K73:K78" si="47">$K$70*0.6*((0.6*3.1416*($B$71*0.0254)^2*J73^2)^(1/3))/9.81*1000</f>
        <v>1471.9919261909247</v>
      </c>
      <c r="L73" s="2">
        <f t="shared" si="42"/>
        <v>7.299479830235633</v>
      </c>
      <c r="M73" s="38">
        <f t="shared" si="43"/>
        <v>188.17143354556018</v>
      </c>
      <c r="N73" s="38">
        <f t="shared" si="44"/>
        <v>128.3466618976162</v>
      </c>
      <c r="O73" s="38">
        <f t="shared" si="45"/>
        <v>6.0340052818188337</v>
      </c>
      <c r="P73" s="34">
        <f t="shared" si="46"/>
        <v>17.434468185502581</v>
      </c>
    </row>
    <row r="74" spans="1:16">
      <c r="A74" s="4" t="s">
        <v>14</v>
      </c>
      <c r="B74" s="4">
        <v>4600</v>
      </c>
      <c r="D74" s="56">
        <v>13</v>
      </c>
      <c r="E74" s="9">
        <f t="shared" si="36"/>
        <v>9.6206273715349511</v>
      </c>
      <c r="F74" s="36">
        <f t="shared" si="37"/>
        <v>125.06815582995436</v>
      </c>
      <c r="G74" s="36">
        <f t="shared" si="38"/>
        <v>96.439973126192797</v>
      </c>
      <c r="H74" s="36">
        <f t="shared" si="39"/>
        <v>77.109934568248434</v>
      </c>
      <c r="I74" s="37">
        <f t="shared" si="40"/>
        <v>4276.4197723326452</v>
      </c>
      <c r="J74" s="38">
        <f t="shared" si="41"/>
        <v>96.439973126192996</v>
      </c>
      <c r="K74" s="64">
        <f t="shared" si="47"/>
        <v>1077.1942762552278</v>
      </c>
      <c r="L74" s="38">
        <f t="shared" si="42"/>
        <v>8.6128580781170765</v>
      </c>
      <c r="M74" s="38">
        <f t="shared" si="43"/>
        <v>117.79764475572605</v>
      </c>
      <c r="N74" s="38">
        <f t="shared" si="44"/>
        <v>80.346597774832162</v>
      </c>
      <c r="O74" s="38">
        <f t="shared" si="45"/>
        <v>8.1075793695931555</v>
      </c>
      <c r="P74" s="34">
        <f t="shared" si="46"/>
        <v>17.623105957073633</v>
      </c>
    </row>
    <row r="75" spans="1:16">
      <c r="A75" s="4" t="s">
        <v>110</v>
      </c>
      <c r="B75" s="4">
        <v>1.28</v>
      </c>
      <c r="D75" s="56">
        <v>10.199999999999999</v>
      </c>
      <c r="E75" s="9">
        <f t="shared" si="36"/>
        <v>6.49357237838103</v>
      </c>
      <c r="F75" s="36">
        <f t="shared" si="37"/>
        <v>66.234438259486495</v>
      </c>
      <c r="G75" s="36">
        <f t="shared" si="38"/>
        <v>50.929556945987841</v>
      </c>
      <c r="H75" s="9">
        <f t="shared" si="39"/>
        <v>76.892864624987439</v>
      </c>
      <c r="I75" s="37">
        <f t="shared" si="40"/>
        <v>3456.6170516754214</v>
      </c>
      <c r="J75" s="38">
        <f t="shared" si="41"/>
        <v>50.929556945987947</v>
      </c>
      <c r="K75" s="65">
        <f t="shared" si="47"/>
        <v>703.77837052897678</v>
      </c>
      <c r="L75" s="2">
        <f t="shared" si="42"/>
        <v>10.625565627533309</v>
      </c>
      <c r="M75" s="38">
        <f t="shared" si="43"/>
        <v>62.208456330029634</v>
      </c>
      <c r="N75" s="38">
        <f t="shared" si="44"/>
        <v>42.43071098158898</v>
      </c>
      <c r="O75" s="38">
        <f t="shared" si="45"/>
        <v>12.011878124233194</v>
      </c>
      <c r="P75" s="34">
        <f t="shared" si="46"/>
        <v>17.823983565388321</v>
      </c>
    </row>
    <row r="76" spans="1:16">
      <c r="A76" s="5"/>
      <c r="B76" s="5"/>
      <c r="D76" s="56">
        <v>10</v>
      </c>
      <c r="E76" s="9">
        <f t="shared" si="36"/>
        <v>6.2894062793985004</v>
      </c>
      <c r="F76" s="36">
        <f t="shared" si="37"/>
        <v>62.894062793985</v>
      </c>
      <c r="G76" s="36">
        <f t="shared" si="38"/>
        <v>48.306145774857448</v>
      </c>
      <c r="H76" s="9">
        <f t="shared" si="39"/>
        <v>76.805573736090878</v>
      </c>
      <c r="I76" s="37">
        <f t="shared" si="40"/>
        <v>3396.2169971777444</v>
      </c>
      <c r="J76" s="38">
        <f t="shared" si="41"/>
        <v>48.306145774857526</v>
      </c>
      <c r="K76" s="64">
        <f t="shared" si="47"/>
        <v>679.39796502377533</v>
      </c>
      <c r="L76" s="2">
        <f t="shared" si="42"/>
        <v>10.80225914565581</v>
      </c>
      <c r="M76" s="38">
        <f t="shared" si="43"/>
        <v>59.004062475827126</v>
      </c>
      <c r="N76" s="38">
        <f t="shared" si="44"/>
        <v>40.245080321063952</v>
      </c>
      <c r="O76" s="38">
        <f t="shared" si="45"/>
        <v>12.401806551358561</v>
      </c>
      <c r="P76" s="34">
        <f t="shared" si="46"/>
        <v>17.838243925775465</v>
      </c>
    </row>
    <row r="77" spans="1:16">
      <c r="A77" s="5"/>
      <c r="B77" s="5"/>
      <c r="D77" s="56">
        <v>9</v>
      </c>
      <c r="E77" s="9">
        <f t="shared" si="36"/>
        <v>5.3103322319627004</v>
      </c>
      <c r="F77" s="36">
        <f t="shared" si="37"/>
        <v>47.792990087664307</v>
      </c>
      <c r="G77" s="36">
        <f t="shared" si="38"/>
        <v>36.38976710974967</v>
      </c>
      <c r="H77" s="36">
        <f t="shared" si="39"/>
        <v>76.140385949909657</v>
      </c>
      <c r="I77" s="37">
        <f t="shared" si="40"/>
        <v>3090.2081057315809</v>
      </c>
      <c r="J77" s="38">
        <f t="shared" si="41"/>
        <v>36.389767109749862</v>
      </c>
      <c r="K77" s="64">
        <f t="shared" si="47"/>
        <v>562.48226542888096</v>
      </c>
      <c r="L77" s="38">
        <f t="shared" si="42"/>
        <v>11.769137365064369</v>
      </c>
      <c r="M77" s="38">
        <f t="shared" si="43"/>
        <v>44.448673301980364</v>
      </c>
      <c r="N77" s="38">
        <f t="shared" si="44"/>
        <v>30.31724176510361</v>
      </c>
      <c r="O77" s="38">
        <f t="shared" si="45"/>
        <v>14.688346527646759</v>
      </c>
      <c r="P77" s="34">
        <f t="shared" si="46"/>
        <v>17.90937250443638</v>
      </c>
    </row>
    <row r="78" spans="1:16">
      <c r="A78" s="5"/>
      <c r="B78" s="5"/>
      <c r="D78" s="56">
        <v>8.16</v>
      </c>
      <c r="E78" s="9">
        <f t="shared" si="36"/>
        <v>4.5442090795953751</v>
      </c>
      <c r="F78" s="36">
        <f t="shared" si="37"/>
        <v>37.080746089498263</v>
      </c>
      <c r="G78" s="36">
        <f t="shared" si="38"/>
        <v>27.883151518781506</v>
      </c>
      <c r="H78" s="9">
        <f t="shared" si="39"/>
        <v>75.195767235865745</v>
      </c>
      <c r="I78" s="37">
        <f t="shared" si="40"/>
        <v>2827.7559283588444</v>
      </c>
      <c r="J78" s="38">
        <f t="shared" si="41"/>
        <v>27.883151518781403</v>
      </c>
      <c r="K78" s="66">
        <f t="shared" si="47"/>
        <v>470.9960039255073</v>
      </c>
      <c r="L78" s="2">
        <f t="shared" si="42"/>
        <v>12.701902027232924</v>
      </c>
      <c r="M78" s="38">
        <f t="shared" si="43"/>
        <v>34.058175990795746</v>
      </c>
      <c r="N78" s="38">
        <f t="shared" si="44"/>
        <v>23.230163667121158</v>
      </c>
      <c r="O78" s="38">
        <f t="shared" si="45"/>
        <v>17.164703171392208</v>
      </c>
      <c r="P78" s="34">
        <f t="shared" si="46"/>
        <v>17.968899230002982</v>
      </c>
    </row>
    <row r="79" spans="1:16">
      <c r="A79" s="5"/>
      <c r="B79" s="5"/>
      <c r="D79" s="60">
        <v>6.85</v>
      </c>
      <c r="E79" s="17">
        <f t="shared" si="36"/>
        <v>3.4598139380971809</v>
      </c>
      <c r="F79" s="61">
        <f>D79*E79</f>
        <v>23.699725475965689</v>
      </c>
      <c r="G79" s="61">
        <f>(D79-($B$20+$B$21)*E79)*(E79-$B$14)</f>
        <v>17.215063686351314</v>
      </c>
      <c r="H79" s="17">
        <f>G79/F79*100</f>
        <v>72.638240910467147</v>
      </c>
      <c r="I79" s="62">
        <f>$B$19*(D79-(E79*($B$20+$B$21)))</f>
        <v>2407.8578619426703</v>
      </c>
      <c r="J79" s="38">
        <f>(($B$71*0.0254)^4)*($B$72*0.0254)*(I79^3)*2*$B$75*0.00000018</f>
        <v>17.215063686351456</v>
      </c>
      <c r="K79" s="36">
        <f>$K$70*0.6*((0.6*3.1416*($B$71*0.0254)^2*J79^2)^(1/3))/9.81*1000</f>
        <v>341.50343190032845</v>
      </c>
      <c r="L79" s="2">
        <f>K79/F79</f>
        <v>14.409594416891164</v>
      </c>
      <c r="M79" s="38">
        <f>1.30652287/($B$71*0.0254)*POWER(K79*0.00981,3/2)</f>
        <v>21.027525110552467</v>
      </c>
      <c r="N79" s="38">
        <f>POWER(I79/$B$74,3)*100</f>
        <v>14.342307995726014</v>
      </c>
      <c r="O79" s="38">
        <f>0.65*60*O$10/E79</f>
        <v>22.544564937760274</v>
      </c>
      <c r="P79" s="34">
        <f>($B$20*$B$14+SQRT($B$20^2*$B$14^2+4*$B$20*($R$9-(D79*$B$14))))/(2*$B$20)</f>
        <v>18.061334409328598</v>
      </c>
    </row>
    <row r="80" spans="1:16">
      <c r="A80" s="5"/>
      <c r="B80" s="5"/>
    </row>
    <row r="83" spans="1:16">
      <c r="H83" s="57" t="s">
        <v>344</v>
      </c>
      <c r="I83" s="90"/>
      <c r="J83" s="90"/>
      <c r="K83" s="90"/>
      <c r="L83" s="90"/>
      <c r="M83" s="91"/>
    </row>
    <row r="84" spans="1:16">
      <c r="O84" s="186" t="s">
        <v>407</v>
      </c>
      <c r="P84" s="186"/>
    </row>
    <row r="85" spans="1:16">
      <c r="D85" s="2"/>
      <c r="E85" s="2"/>
      <c r="F85" s="2"/>
      <c r="G85" s="2"/>
      <c r="H85" s="2"/>
      <c r="I85" s="2"/>
      <c r="J85" s="2"/>
      <c r="K85" s="4" t="s">
        <v>111</v>
      </c>
      <c r="L85" s="2"/>
      <c r="M85" s="2"/>
      <c r="N85" s="2"/>
      <c r="O85" s="89">
        <v>1.25</v>
      </c>
      <c r="P85" s="89" t="s">
        <v>394</v>
      </c>
    </row>
    <row r="86" spans="1:16">
      <c r="D86" s="2"/>
      <c r="E86" s="2"/>
      <c r="F86" s="2"/>
      <c r="G86" s="2"/>
      <c r="H86" s="2"/>
      <c r="I86" s="2"/>
      <c r="J86" s="2"/>
      <c r="K86" s="4">
        <v>1.29</v>
      </c>
      <c r="M86" s="2" t="s">
        <v>113</v>
      </c>
      <c r="N86" s="2" t="s">
        <v>113</v>
      </c>
      <c r="O86" s="89" t="s">
        <v>116</v>
      </c>
    </row>
    <row r="87" spans="1:16">
      <c r="A87" s="5" t="s">
        <v>249</v>
      </c>
      <c r="B87" s="5">
        <v>12</v>
      </c>
      <c r="D87" s="11" t="s">
        <v>425</v>
      </c>
      <c r="E87" s="12" t="s">
        <v>426</v>
      </c>
      <c r="F87" s="12" t="s">
        <v>427</v>
      </c>
      <c r="G87" s="12" t="s">
        <v>302</v>
      </c>
      <c r="H87" s="12" t="s">
        <v>48</v>
      </c>
      <c r="I87" s="13" t="s">
        <v>43</v>
      </c>
      <c r="J87" s="2" t="s">
        <v>303</v>
      </c>
      <c r="K87" s="2" t="s">
        <v>428</v>
      </c>
      <c r="L87" s="9" t="s">
        <v>112</v>
      </c>
      <c r="M87" s="9" t="s">
        <v>123</v>
      </c>
      <c r="N87" s="9" t="s">
        <v>252</v>
      </c>
      <c r="O87" s="89" t="s">
        <v>118</v>
      </c>
      <c r="P87" t="s">
        <v>383</v>
      </c>
    </row>
    <row r="88" spans="1:16">
      <c r="A88" s="5" t="s">
        <v>109</v>
      </c>
      <c r="B88" s="5">
        <v>4.5</v>
      </c>
      <c r="D88" s="35">
        <v>24.8</v>
      </c>
      <c r="E88" s="9">
        <f t="shared" ref="E88:E100" si="48">(0.5+(0.00000036*$B$91*$B$19^3*($B$88*0.0254)*($B$87*0.0254)^4)*($B$20+$B$21)*$D88-(0.25-(0.00000036*$B$91*$B$19^3*($B$88*0.0254)*($B$87*0.0254)^4)*(($B$20+$B$21)^2*$B$14-($B$20+$B$21)*$D88))^(1/2))/((0.00000036*$B$91*$B$19^3*($B$88*0.0254)*($B$87*0.0254)^4)*($B$20+$B$21)^2)</f>
        <v>12.485834406340489</v>
      </c>
      <c r="F88" s="36">
        <f>D88*E88</f>
        <v>309.64869327724415</v>
      </c>
      <c r="G88" s="36">
        <f>(D88-($B$20+$B$21)*E88)*(E88-$B$14)</f>
        <v>259.15159883434376</v>
      </c>
      <c r="H88" s="9">
        <f>G88/F88*100</f>
        <v>83.692133847408883</v>
      </c>
      <c r="I88" s="37">
        <f>$B$19*(D88-(E88*($B$20+$B$21)))</f>
        <v>8721.3598969913128</v>
      </c>
      <c r="J88" s="38">
        <f>(($B$87*0.0254)^4)*($B$88*0.0254)*(I88^3)*2*$B$91*0.00000018</f>
        <v>259.15159883434359</v>
      </c>
      <c r="K88" s="36">
        <f>$K$86*0.6*((0.6*3.1416*($B$87*0.0254)^2*J88^2)^(1/3))/9.81*1000</f>
        <v>1794.2594255678177</v>
      </c>
      <c r="L88" s="2">
        <f>K88/F88</f>
        <v>5.7945002337256</v>
      </c>
      <c r="M88" s="38">
        <f>1.30652287/($B$87*0.0254)*POWER(K88*0.00981,3/2)</f>
        <v>316.5435139371188</v>
      </c>
      <c r="N88" s="38">
        <f>POWER(I88/$B$90,3)*100</f>
        <v>337.89036556031806</v>
      </c>
      <c r="O88" s="38">
        <f>0.65*60*O$10/E88</f>
        <v>6.2470794871659088</v>
      </c>
      <c r="P88" s="33">
        <f>($B$20*$B$14+SQRT($B$20^2*$B$14^2+4*$B$20*($R$9-(D88*$B$14))))/(2*$B$20)</f>
        <v>16.74962005640252</v>
      </c>
    </row>
    <row r="89" spans="1:16">
      <c r="A89" s="10"/>
      <c r="B89" s="5"/>
      <c r="D89" s="56">
        <v>24.7</v>
      </c>
      <c r="E89" s="9">
        <f t="shared" si="48"/>
        <v>12.399543587505431</v>
      </c>
      <c r="F89" s="36">
        <f>D89*E89</f>
        <v>306.26872661138412</v>
      </c>
      <c r="G89" s="36">
        <f>(D89-($B$20+$B$21)*E89)*(E89-$B$14)</f>
        <v>256.33457740515763</v>
      </c>
      <c r="H89" s="9">
        <f>G89/F89*100</f>
        <v>83.695968648608854</v>
      </c>
      <c r="I89" s="37">
        <f>$B$19*(D89-(E89*($B$20+$B$21)))</f>
        <v>8689.6438155994783</v>
      </c>
      <c r="J89" s="38">
        <f t="shared" ref="J89:J100" si="49">(($B$87*0.0254)^4)*($B$88*0.0254)*(I89^3)*2*$B$91*0.00000018</f>
        <v>256.33457740515661</v>
      </c>
      <c r="K89" s="63">
        <f t="shared" ref="K89:K100" si="50">$K$86*0.6*((0.6*3.1416*($B$87*0.0254)^2*J89^2)^(1/3))/9.81*1000</f>
        <v>1781.2331533060863</v>
      </c>
      <c r="L89" s="2">
        <f>K89/F89</f>
        <v>5.8159158886837421</v>
      </c>
      <c r="M89" s="38">
        <f t="shared" ref="M89:M100" si="51">1.30652287/($B$87*0.0254)*POWER(K89*0.00981,3/2)</f>
        <v>313.10263274617921</v>
      </c>
      <c r="N89" s="38">
        <f t="shared" ref="N89:N100" si="52">POWER(I89/$B$90,3)*100</f>
        <v>334.21744050494266</v>
      </c>
      <c r="O89" s="38">
        <f>0.65*60*O$10/E89</f>
        <v>6.2905541199595252</v>
      </c>
      <c r="P89" s="34">
        <f>($B$20*$B$14+SQRT($B$20^2*$B$14^2+4*$B$20*($R$9-(D89*$B$14))))/(2*$B$20)</f>
        <v>16.757217261736564</v>
      </c>
    </row>
    <row r="90" spans="1:16">
      <c r="A90" s="4" t="s">
        <v>14</v>
      </c>
      <c r="B90" s="4">
        <v>5812</v>
      </c>
      <c r="D90" s="56">
        <v>22</v>
      </c>
      <c r="E90" s="9">
        <f t="shared" si="48"/>
        <v>10.165922763758866</v>
      </c>
      <c r="F90" s="36">
        <f>D90*E90</f>
        <v>223.65030080269506</v>
      </c>
      <c r="G90" s="36">
        <f>(D90-($B$20+$B$21)*E90)*(E90-$B$14)</f>
        <v>187.11115712738578</v>
      </c>
      <c r="H90" s="36">
        <f>G90/F90*100</f>
        <v>83.662376690678258</v>
      </c>
      <c r="I90" s="37">
        <f>$B$19*(D90-(E90*($B$20+$B$21)))</f>
        <v>7824.0714146791488</v>
      </c>
      <c r="J90" s="38">
        <f t="shared" si="49"/>
        <v>187.11115712738453</v>
      </c>
      <c r="K90" s="64">
        <f t="shared" si="50"/>
        <v>1444.0506653846701</v>
      </c>
      <c r="L90" s="38">
        <f>K90/F90</f>
        <v>6.4567347336528549</v>
      </c>
      <c r="M90" s="38">
        <f t="shared" si="51"/>
        <v>228.54893984969496</v>
      </c>
      <c r="N90" s="38">
        <f t="shared" si="52"/>
        <v>243.96167172636223</v>
      </c>
      <c r="O90" s="38">
        <f>0.65*60*O$10/E90</f>
        <v>7.672692564423869</v>
      </c>
      <c r="P90" s="34">
        <f>($B$20*$B$14+SQRT($B$20^2*$B$14^2+4*$B$20*($R$9-(D90*$B$14))))/(2*$B$20)</f>
        <v>16.961032380978079</v>
      </c>
    </row>
    <row r="91" spans="1:16">
      <c r="A91" s="4" t="s">
        <v>110</v>
      </c>
      <c r="B91" s="4">
        <v>1.1000000000000001</v>
      </c>
      <c r="D91" s="56">
        <v>20.5</v>
      </c>
      <c r="E91" s="9">
        <f t="shared" si="48"/>
        <v>9.0079407172052743</v>
      </c>
      <c r="F91" s="36">
        <f>D91*E91</f>
        <v>184.66278470270814</v>
      </c>
      <c r="G91" s="36">
        <f>(D91-($B$20+$B$21)*E91)*(E91-$B$14)</f>
        <v>154.18560913446137</v>
      </c>
      <c r="H91" s="9">
        <f>G91/F91*100</f>
        <v>83.49576737006727</v>
      </c>
      <c r="I91" s="37">
        <f>$B$19*(D91-(E91*($B$20+$B$21)))</f>
        <v>7335.2376911482934</v>
      </c>
      <c r="J91" s="38">
        <f t="shared" si="49"/>
        <v>154.18560913446197</v>
      </c>
      <c r="K91" s="64">
        <f t="shared" si="50"/>
        <v>1269.2442419872043</v>
      </c>
      <c r="L91" s="2">
        <f>K91/F91</f>
        <v>6.873308252285824</v>
      </c>
      <c r="M91" s="38">
        <f t="shared" si="51"/>
        <v>188.33167433073044</v>
      </c>
      <c r="N91" s="38">
        <f t="shared" si="52"/>
        <v>201.03226091954753</v>
      </c>
      <c r="O91" s="38">
        <f>0.65*60*O$10/E91</f>
        <v>8.6590267907757283</v>
      </c>
      <c r="P91" s="34">
        <f>($B$20*$B$14+SQRT($B$20^2*$B$14^2+4*$B$20*($R$9-(D91*$B$14))))/(2*$B$20)</f>
        <v>17.073192898193234</v>
      </c>
    </row>
    <row r="92" spans="1:16">
      <c r="D92" s="56">
        <v>19</v>
      </c>
      <c r="E92" s="9">
        <f t="shared" si="48"/>
        <v>7.9119185193612713</v>
      </c>
      <c r="F92" s="36">
        <f t="shared" ref="F92:F99" si="53">D92*E92</f>
        <v>150.32645186786417</v>
      </c>
      <c r="G92" s="36">
        <f t="shared" ref="G92:G99" si="54">(D92-($B$20+$B$21)*E92)*(E92-$B$14)</f>
        <v>125.04213901696934</v>
      </c>
      <c r="H92" s="36">
        <f t="shared" ref="H92:H99" si="55">G92/F92*100</f>
        <v>83.180396705484981</v>
      </c>
      <c r="I92" s="37">
        <f t="shared" ref="I92:I99" si="56">$B$19*(D92-(E92*($B$20+$B$21)))</f>
        <v>6840.4558221413181</v>
      </c>
      <c r="J92" s="38">
        <f t="shared" si="49"/>
        <v>125.04213901697059</v>
      </c>
      <c r="K92" s="64">
        <f t="shared" si="50"/>
        <v>1103.7911411040191</v>
      </c>
      <c r="L92" s="38">
        <f t="shared" ref="L92:L99" si="57">K92/F92</f>
        <v>7.3426275109203223</v>
      </c>
      <c r="M92" s="38">
        <f t="shared" si="51"/>
        <v>152.73406860185713</v>
      </c>
      <c r="N92" s="38">
        <f t="shared" si="52"/>
        <v>163.03404745689386</v>
      </c>
      <c r="O92" s="38">
        <f t="shared" ref="O92:O99" si="58">0.65*60*O$10/E92</f>
        <v>9.8585443984447068</v>
      </c>
      <c r="P92" s="34">
        <f t="shared" ref="P92:P99" si="59">($B$20*$B$14+SQRT($B$20^2*$B$14^2+4*$B$20*($R$9-(D92*$B$14))))/(2*$B$20)</f>
        <v>17.184608375677534</v>
      </c>
    </row>
    <row r="93" spans="1:16">
      <c r="D93" s="56">
        <v>17.5</v>
      </c>
      <c r="E93" s="9">
        <f t="shared" si="48"/>
        <v>6.8801745551931317</v>
      </c>
      <c r="F93" s="36">
        <f t="shared" si="53"/>
        <v>120.4030547158798</v>
      </c>
      <c r="G93" s="36">
        <f t="shared" si="54"/>
        <v>99.532967393445134</v>
      </c>
      <c r="H93" s="9">
        <f t="shared" si="55"/>
        <v>82.666480205437736</v>
      </c>
      <c r="I93" s="37">
        <f t="shared" si="56"/>
        <v>6339.5032427014594</v>
      </c>
      <c r="J93" s="38">
        <f t="shared" si="49"/>
        <v>99.532967393444338</v>
      </c>
      <c r="K93" s="64">
        <f t="shared" si="50"/>
        <v>948.04134103158299</v>
      </c>
      <c r="L93" s="2">
        <f t="shared" si="57"/>
        <v>7.8738977451088461</v>
      </c>
      <c r="M93" s="38">
        <f t="shared" si="51"/>
        <v>121.57561594458581</v>
      </c>
      <c r="N93" s="38">
        <f t="shared" si="52"/>
        <v>129.77435172750788</v>
      </c>
      <c r="O93" s="38">
        <f t="shared" si="58"/>
        <v>11.336921668815201</v>
      </c>
      <c r="P93" s="34">
        <f t="shared" si="59"/>
        <v>17.295293466133501</v>
      </c>
    </row>
    <row r="94" spans="1:16">
      <c r="D94" s="56">
        <v>16.5</v>
      </c>
      <c r="E94" s="9">
        <f t="shared" si="48"/>
        <v>6.2292669840854158</v>
      </c>
      <c r="F94" s="36">
        <f t="shared" si="53"/>
        <v>102.78290523740937</v>
      </c>
      <c r="G94" s="36">
        <f t="shared" si="54"/>
        <v>84.467015564953684</v>
      </c>
      <c r="H94" s="36">
        <f t="shared" si="55"/>
        <v>82.180023389931051</v>
      </c>
      <c r="I94" s="37">
        <f t="shared" si="56"/>
        <v>6001.9903695278008</v>
      </c>
      <c r="J94" s="38">
        <f t="shared" si="49"/>
        <v>84.467015564953272</v>
      </c>
      <c r="K94" s="64">
        <f t="shared" si="50"/>
        <v>849.78176541353287</v>
      </c>
      <c r="L94" s="38">
        <f t="shared" si="57"/>
        <v>8.2677344394060004</v>
      </c>
      <c r="M94" s="38">
        <f t="shared" si="51"/>
        <v>103.17314667930289</v>
      </c>
      <c r="N94" s="38">
        <f t="shared" si="52"/>
        <v>110.13086894082798</v>
      </c>
      <c r="O94" s="38">
        <f t="shared" si="58"/>
        <v>12.521537477728128</v>
      </c>
      <c r="P94" s="34">
        <f t="shared" si="59"/>
        <v>17.368684776513977</v>
      </c>
    </row>
    <row r="95" spans="1:16">
      <c r="D95" s="56">
        <v>15.65</v>
      </c>
      <c r="E95" s="9">
        <f t="shared" si="48"/>
        <v>5.6998909539474898</v>
      </c>
      <c r="F95" s="36">
        <f t="shared" si="53"/>
        <v>89.203293429278219</v>
      </c>
      <c r="G95" s="36">
        <f t="shared" si="54"/>
        <v>72.836776073792478</v>
      </c>
      <c r="H95" s="9">
        <f t="shared" si="55"/>
        <v>81.652563794114428</v>
      </c>
      <c r="I95" s="37">
        <f t="shared" si="56"/>
        <v>5712.8104684210412</v>
      </c>
      <c r="J95" s="38">
        <f t="shared" si="49"/>
        <v>72.83677607379316</v>
      </c>
      <c r="K95" s="65">
        <f t="shared" si="50"/>
        <v>769.8683239779175</v>
      </c>
      <c r="L95" s="2">
        <f t="shared" si="57"/>
        <v>8.6304921531656369</v>
      </c>
      <c r="M95" s="38">
        <f t="shared" si="51"/>
        <v>88.967265283929564</v>
      </c>
      <c r="N95" s="38">
        <f t="shared" si="52"/>
        <v>94.966980734473012</v>
      </c>
      <c r="O95" s="38">
        <f t="shared" si="58"/>
        <v>13.684472322401305</v>
      </c>
      <c r="P95" s="34">
        <f t="shared" si="59"/>
        <v>17.430820178847249</v>
      </c>
    </row>
    <row r="96" spans="1:16">
      <c r="D96" s="56">
        <v>16</v>
      </c>
      <c r="E96" s="9">
        <f t="shared" si="48"/>
        <v>5.915175501054601</v>
      </c>
      <c r="F96" s="36">
        <f t="shared" si="53"/>
        <v>94.642808016873616</v>
      </c>
      <c r="G96" s="36">
        <f t="shared" si="54"/>
        <v>77.49716099903911</v>
      </c>
      <c r="H96" s="36">
        <f t="shared" si="55"/>
        <v>81.883835256898081</v>
      </c>
      <c r="I96" s="37">
        <f t="shared" si="56"/>
        <v>5832.1431518987583</v>
      </c>
      <c r="J96" s="38">
        <f t="shared" si="49"/>
        <v>77.497160999039039</v>
      </c>
      <c r="K96" s="64">
        <f t="shared" si="50"/>
        <v>802.36720580819804</v>
      </c>
      <c r="L96" s="38">
        <f t="shared" si="57"/>
        <v>8.4778465751475398</v>
      </c>
      <c r="M96" s="38">
        <f t="shared" si="51"/>
        <v>94.659742687782682</v>
      </c>
      <c r="N96" s="38">
        <f t="shared" si="52"/>
        <v>101.04334365535055</v>
      </c>
      <c r="O96" s="38">
        <f t="shared" si="58"/>
        <v>13.186421938976043</v>
      </c>
      <c r="P96" s="34">
        <f t="shared" si="59"/>
        <v>17.40526234817812</v>
      </c>
    </row>
    <row r="97" spans="4:16">
      <c r="D97" s="56">
        <v>15</v>
      </c>
      <c r="E97" s="9">
        <f t="shared" si="48"/>
        <v>5.3102142639402503</v>
      </c>
      <c r="F97" s="36">
        <f t="shared" si="53"/>
        <v>79.653213959103752</v>
      </c>
      <c r="G97" s="36">
        <f t="shared" si="54"/>
        <v>64.650274686162078</v>
      </c>
      <c r="H97" s="9">
        <f t="shared" si="55"/>
        <v>81.164678074829951</v>
      </c>
      <c r="I97" s="37">
        <f t="shared" si="56"/>
        <v>5490.2194306617357</v>
      </c>
      <c r="J97" s="38">
        <f t="shared" si="49"/>
        <v>64.650274686160984</v>
      </c>
      <c r="K97" s="64">
        <f t="shared" si="50"/>
        <v>711.04358773585739</v>
      </c>
      <c r="L97" s="2">
        <f t="shared" si="57"/>
        <v>8.9267407100600806</v>
      </c>
      <c r="M97" s="38">
        <f t="shared" si="51"/>
        <v>78.967774917101238</v>
      </c>
      <c r="N97" s="38">
        <f t="shared" si="52"/>
        <v>84.293151365991008</v>
      </c>
      <c r="O97" s="38">
        <f t="shared" si="58"/>
        <v>14.688672833725349</v>
      </c>
      <c r="P97" s="34">
        <f t="shared" si="59"/>
        <v>17.478183838811365</v>
      </c>
    </row>
    <row r="98" spans="4:16">
      <c r="D98" s="56">
        <v>14</v>
      </c>
      <c r="E98" s="9">
        <f t="shared" si="48"/>
        <v>4.736903969135831</v>
      </c>
      <c r="F98" s="36">
        <f t="shared" si="53"/>
        <v>66.316655567901634</v>
      </c>
      <c r="G98" s="36">
        <f t="shared" si="54"/>
        <v>53.213587528381652</v>
      </c>
      <c r="H98" s="36">
        <f t="shared" si="55"/>
        <v>80.241663384089463</v>
      </c>
      <c r="I98" s="37">
        <f t="shared" si="56"/>
        <v>5145.2572189629609</v>
      </c>
      <c r="J98" s="38">
        <f t="shared" si="49"/>
        <v>53.213587528381005</v>
      </c>
      <c r="K98" s="64">
        <f t="shared" si="50"/>
        <v>624.49792631564605</v>
      </c>
      <c r="L98" s="38">
        <f t="shared" si="57"/>
        <v>9.4169092359644484</v>
      </c>
      <c r="M98" s="38">
        <f t="shared" si="51"/>
        <v>64.998310105744537</v>
      </c>
      <c r="N98" s="38">
        <f t="shared" si="52"/>
        <v>69.38162304850043</v>
      </c>
      <c r="O98" s="38">
        <f t="shared" si="58"/>
        <v>16.466451612323862</v>
      </c>
      <c r="P98" s="34">
        <f t="shared" si="59"/>
        <v>17.550797083033583</v>
      </c>
    </row>
    <row r="99" spans="4:16">
      <c r="D99" s="56">
        <v>12.6</v>
      </c>
      <c r="E99" s="9">
        <f t="shared" si="48"/>
        <v>3.9890863392368798</v>
      </c>
      <c r="F99" s="36">
        <f t="shared" si="53"/>
        <v>50.262487874384682</v>
      </c>
      <c r="G99" s="36">
        <f t="shared" si="54"/>
        <v>39.45784194998209</v>
      </c>
      <c r="H99" s="9">
        <f t="shared" si="55"/>
        <v>78.503559251970543</v>
      </c>
      <c r="I99" s="37">
        <f t="shared" si="56"/>
        <v>4657.0477114332598</v>
      </c>
      <c r="J99" s="38">
        <f t="shared" si="49"/>
        <v>39.45784194998258</v>
      </c>
      <c r="K99" s="66">
        <f t="shared" si="50"/>
        <v>511.60902132332643</v>
      </c>
      <c r="L99" s="2">
        <f t="shared" si="57"/>
        <v>10.178744486383815</v>
      </c>
      <c r="M99" s="38">
        <f t="shared" si="51"/>
        <v>48.196206388087703</v>
      </c>
      <c r="N99" s="38">
        <f t="shared" si="52"/>
        <v>51.446430200198357</v>
      </c>
      <c r="O99" s="38">
        <f t="shared" si="58"/>
        <v>19.553349656232697</v>
      </c>
      <c r="P99" s="34">
        <f t="shared" si="59"/>
        <v>17.651945135920641</v>
      </c>
    </row>
    <row r="100" spans="4:16">
      <c r="D100" s="60">
        <v>10.6</v>
      </c>
      <c r="E100" s="17">
        <f t="shared" si="48"/>
        <v>3.0362905781496017</v>
      </c>
      <c r="F100" s="61">
        <f>D100*E100</f>
        <v>32.184680128385779</v>
      </c>
      <c r="G100" s="61">
        <f>(D100-($B$20+$B$21)*E100)*(E100-$B$14)</f>
        <v>24.049331457648908</v>
      </c>
      <c r="H100" s="61">
        <f>G100/F100*100</f>
        <v>74.722915877104597</v>
      </c>
      <c r="I100" s="62">
        <f>$B$19*(D100-(E100*($B$20+$B$21)))</f>
        <v>3948.516104497638</v>
      </c>
      <c r="J100" s="38">
        <f t="shared" si="49"/>
        <v>24.049331457648986</v>
      </c>
      <c r="K100" s="36">
        <f t="shared" si="50"/>
        <v>367.77706838445596</v>
      </c>
      <c r="L100" s="38">
        <f>K100/F100</f>
        <v>11.427084778142296</v>
      </c>
      <c r="M100" s="38">
        <f t="shared" si="51"/>
        <v>29.375315150221812</v>
      </c>
      <c r="N100" s="38">
        <f t="shared" si="52"/>
        <v>31.356308177363957</v>
      </c>
      <c r="O100" s="38">
        <f>0.65*60*O$10/E100</f>
        <v>25.689240865587816</v>
      </c>
      <c r="P100" s="34">
        <f>($B$20*$B$14+SQRT($B$20^2*$B$14^2+4*$B$20*($R$9-(D100*$B$14))))/(2*$B$20)</f>
        <v>17.795427974187998</v>
      </c>
    </row>
  </sheetData>
  <sheetCalcPr fullCalcOnLoad="1"/>
  <mergeCells count="5">
    <mergeCell ref="O9:P9"/>
    <mergeCell ref="O31:P31"/>
    <mergeCell ref="O50:P50"/>
    <mergeCell ref="O68:P68"/>
    <mergeCell ref="O84:P84"/>
  </mergeCells>
  <phoneticPr fontId="1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R100"/>
  <sheetViews>
    <sheetView topLeftCell="A166" workbookViewId="0">
      <selection activeCell="H234" sqref="H234"/>
    </sheetView>
  </sheetViews>
  <sheetFormatPr baseColWidth="10" defaultRowHeight="15"/>
  <sheetData>
    <row r="1" spans="1:18">
      <c r="A1" s="78"/>
    </row>
    <row r="7" spans="1:18" ht="16">
      <c r="F7" t="s">
        <v>289</v>
      </c>
      <c r="H7" s="82" t="s">
        <v>239</v>
      </c>
      <c r="I7" s="83"/>
      <c r="J7" s="83"/>
      <c r="K7" s="83"/>
      <c r="L7" s="83"/>
      <c r="M7" s="83"/>
      <c r="N7" s="84"/>
    </row>
    <row r="8" spans="1:18" ht="17">
      <c r="F8" t="s">
        <v>97</v>
      </c>
      <c r="H8" s="85" t="s">
        <v>282</v>
      </c>
      <c r="I8" s="86"/>
      <c r="J8" s="86"/>
      <c r="K8" s="86"/>
      <c r="L8" s="86"/>
      <c r="M8" s="86"/>
      <c r="N8" s="87"/>
      <c r="R8" s="7" t="s">
        <v>16</v>
      </c>
    </row>
    <row r="9" spans="1:18">
      <c r="O9" s="186" t="s">
        <v>135</v>
      </c>
      <c r="P9" s="186"/>
      <c r="R9" s="7">
        <f>($B$20*$B$17^2+$B$14*(($B$18/$B$17)-$B$17*$B$20))/2</f>
        <v>21.306249999999999</v>
      </c>
    </row>
    <row r="10" spans="1:18" ht="16">
      <c r="D10" s="2"/>
      <c r="E10" s="2"/>
      <c r="F10" s="2"/>
      <c r="G10" s="2"/>
      <c r="H10" s="2"/>
      <c r="I10" s="2"/>
      <c r="J10" s="2"/>
      <c r="K10" s="4" t="s">
        <v>111</v>
      </c>
      <c r="L10" s="2"/>
      <c r="M10" s="2"/>
      <c r="N10" s="2"/>
      <c r="O10" s="89">
        <v>2</v>
      </c>
      <c r="P10" s="89" t="s">
        <v>394</v>
      </c>
      <c r="R10" t="s">
        <v>13</v>
      </c>
    </row>
    <row r="11" spans="1:18" ht="16">
      <c r="D11" s="2"/>
      <c r="E11" s="2"/>
      <c r="F11" s="2"/>
      <c r="G11" s="2"/>
      <c r="H11" s="2"/>
      <c r="I11" s="2"/>
      <c r="J11" s="2"/>
      <c r="K11" s="4">
        <v>1.34</v>
      </c>
      <c r="M11" s="2" t="s">
        <v>113</v>
      </c>
      <c r="N11" s="2" t="s">
        <v>113</v>
      </c>
      <c r="O11" s="89" t="s">
        <v>116</v>
      </c>
      <c r="R11" s="31" t="s">
        <v>22</v>
      </c>
    </row>
    <row r="12" spans="1:18">
      <c r="A12" s="5" t="s">
        <v>249</v>
      </c>
      <c r="B12" s="5">
        <v>13</v>
      </c>
      <c r="D12" s="11" t="s">
        <v>425</v>
      </c>
      <c r="E12" s="12" t="s">
        <v>426</v>
      </c>
      <c r="F12" s="12" t="s">
        <v>427</v>
      </c>
      <c r="G12" s="12" t="s">
        <v>302</v>
      </c>
      <c r="H12" s="12" t="s">
        <v>48</v>
      </c>
      <c r="I12" s="13" t="s">
        <v>43</v>
      </c>
      <c r="J12" s="2" t="s">
        <v>303</v>
      </c>
      <c r="K12" s="2" t="s">
        <v>428</v>
      </c>
      <c r="L12" s="9" t="s">
        <v>112</v>
      </c>
      <c r="M12" s="9" t="s">
        <v>123</v>
      </c>
      <c r="N12" s="9" t="s">
        <v>252</v>
      </c>
      <c r="O12" s="89" t="s">
        <v>118</v>
      </c>
      <c r="P12" t="s">
        <v>383</v>
      </c>
    </row>
    <row r="13" spans="1:18">
      <c r="A13" s="5" t="s">
        <v>109</v>
      </c>
      <c r="B13" s="5">
        <v>4</v>
      </c>
      <c r="D13" s="35">
        <v>20.399999999999999</v>
      </c>
      <c r="E13" s="9">
        <f t="shared" ref="E13:E25" si="0">(0.5+(0.00000036*$B$16*$B$19^3*($B$13*0.0254)*($B$12*0.0254)^4)*($B$20+$B$21)*$D13-(0.25-(0.00000036*$B$16*$B$19^3*($B$13*0.0254)*($B$12*0.0254)^4)*(($B$20+$B$21)^2*$B$14-($B$20+$B$21)*$D13))^(1/2))/((0.00000036*$B$16*$B$19^3*($B$13*0.0254)*($B$12*0.0254)^4)*($B$20+$B$21)^2)</f>
        <v>9.9079654790204454</v>
      </c>
      <c r="F13" s="36">
        <f t="shared" ref="F13:F25" si="1">D13*E13</f>
        <v>202.12249577201706</v>
      </c>
      <c r="G13" s="36">
        <f t="shared" ref="G13:G25" si="2">(D13-($B$20+$B$21)*E13)*(E13-$B$14)</f>
        <v>180.7550617161871</v>
      </c>
      <c r="H13" s="9">
        <f t="shared" ref="H13:H25" si="3">G13/F13*100</f>
        <v>89.428473078062893</v>
      </c>
      <c r="I13" s="37">
        <f t="shared" ref="I13:I25" si="4">$B$19*(D13-(E13*($B$20+$B$21)))</f>
        <v>7299.1018887409437</v>
      </c>
      <c r="J13" s="38">
        <f t="shared" ref="J13:J25" si="5">(($B$12*0.0254)^4)*($B$13*0.0254)*(I13^3)*2*$B$16*0.00000018</f>
        <v>180.75506171618639</v>
      </c>
      <c r="K13" s="36">
        <f t="shared" ref="K13:K25" si="6">$K$11*0.6*((0.6*3.1416*($B$12*0.0254)^2*J13^2)^(1/3))/9.81*1000</f>
        <v>1546.2015775822542</v>
      </c>
      <c r="L13" s="2">
        <f t="shared" ref="L13:L25" si="7">K13/F13</f>
        <v>7.6498242893571016</v>
      </c>
      <c r="M13" s="38">
        <f t="shared" ref="M13:M25" si="8">1.30652287/($B$12*0.0254)*POWER(K13*0.00981,3/2)</f>
        <v>233.7451596959389</v>
      </c>
      <c r="N13" s="38">
        <f t="shared" ref="N13:N25" si="9">POWER(I13/$B$15,3)*100</f>
        <v>209.9827944992058</v>
      </c>
      <c r="O13" s="38">
        <f t="shared" ref="O13:O25" si="10">0.65*60*O$10/E13</f>
        <v>7.8724537509906121</v>
      </c>
      <c r="P13" s="33">
        <f>($B$20*$B$14+SQRT($B$20^2*$B$14^2+4*$B$20*($R$9-(D13*$B$14))))/(2*$B$20)</f>
        <v>9.8895536177001535</v>
      </c>
    </row>
    <row r="14" spans="1:18">
      <c r="A14" s="10" t="s">
        <v>63</v>
      </c>
      <c r="B14" s="5">
        <v>0.25</v>
      </c>
      <c r="D14" s="56">
        <v>20.3</v>
      </c>
      <c r="E14" s="9">
        <f t="shared" si="0"/>
        <v>9.8203331003566472</v>
      </c>
      <c r="F14" s="36">
        <f t="shared" si="1"/>
        <v>199.35276193723993</v>
      </c>
      <c r="G14" s="36">
        <f t="shared" si="2"/>
        <v>178.30050591967185</v>
      </c>
      <c r="H14" s="36">
        <f t="shared" si="3"/>
        <v>89.43969684042014</v>
      </c>
      <c r="I14" s="37">
        <f t="shared" si="4"/>
        <v>7265.9119154463551</v>
      </c>
      <c r="J14" s="38">
        <f t="shared" si="5"/>
        <v>178.30050591967543</v>
      </c>
      <c r="K14" s="121">
        <f t="shared" si="6"/>
        <v>1532.1719848661451</v>
      </c>
      <c r="L14" s="38">
        <f t="shared" si="7"/>
        <v>7.6857324171335142</v>
      </c>
      <c r="M14" s="38">
        <f t="shared" si="8"/>
        <v>230.57102708139053</v>
      </c>
      <c r="N14" s="38">
        <f t="shared" si="9"/>
        <v>207.13134192846195</v>
      </c>
      <c r="O14" s="38">
        <f t="shared" si="10"/>
        <v>7.9427041020805351</v>
      </c>
      <c r="P14" s="34">
        <f t="shared" ref="P14:P25" si="11">($B$20*$B$14+SQRT($B$20^2*$B$14^2+4*$B$20*($R$9-(D14*$B$14))))/(2*$B$20)</f>
        <v>9.8970809542528126</v>
      </c>
    </row>
    <row r="15" spans="1:18">
      <c r="A15" s="4" t="s">
        <v>14</v>
      </c>
      <c r="B15" s="4">
        <v>5700</v>
      </c>
      <c r="D15" s="56">
        <v>20.3</v>
      </c>
      <c r="E15" s="9">
        <f t="shared" si="0"/>
        <v>9.8203331003566472</v>
      </c>
      <c r="F15" s="36">
        <f t="shared" si="1"/>
        <v>199.35276193723993</v>
      </c>
      <c r="G15" s="36">
        <f t="shared" si="2"/>
        <v>178.30050591967185</v>
      </c>
      <c r="H15" s="9">
        <f t="shared" si="3"/>
        <v>89.43969684042014</v>
      </c>
      <c r="I15" s="37">
        <f t="shared" si="4"/>
        <v>7265.9119154463551</v>
      </c>
      <c r="J15" s="38">
        <f t="shared" si="5"/>
        <v>178.30050591967543</v>
      </c>
      <c r="K15" s="65">
        <f t="shared" si="6"/>
        <v>1532.1719848661451</v>
      </c>
      <c r="L15" s="2">
        <f t="shared" si="7"/>
        <v>7.6857324171335142</v>
      </c>
      <c r="M15" s="38">
        <f t="shared" si="8"/>
        <v>230.57102708139053</v>
      </c>
      <c r="N15" s="38">
        <f t="shared" si="9"/>
        <v>207.13134192846195</v>
      </c>
      <c r="O15" s="38">
        <f t="shared" si="10"/>
        <v>7.9427041020805351</v>
      </c>
      <c r="P15" s="34">
        <f t="shared" si="11"/>
        <v>9.8970809542528126</v>
      </c>
    </row>
    <row r="16" spans="1:18">
      <c r="A16" s="4" t="s">
        <v>110</v>
      </c>
      <c r="B16" s="4">
        <v>1.069</v>
      </c>
      <c r="D16" s="56">
        <v>20</v>
      </c>
      <c r="E16" s="9">
        <f t="shared" si="0"/>
        <v>9.5594801390484889</v>
      </c>
      <c r="F16" s="36">
        <f t="shared" si="1"/>
        <v>191.18960278096978</v>
      </c>
      <c r="G16" s="36">
        <f t="shared" si="2"/>
        <v>171.06065839697271</v>
      </c>
      <c r="H16" s="36">
        <f t="shared" si="3"/>
        <v>89.471736908697309</v>
      </c>
      <c r="I16" s="37">
        <f t="shared" si="4"/>
        <v>7166.2064667810846</v>
      </c>
      <c r="J16" s="38">
        <f t="shared" si="5"/>
        <v>171.06065839697121</v>
      </c>
      <c r="K16" s="64">
        <f t="shared" si="6"/>
        <v>1490.4104708942598</v>
      </c>
      <c r="L16" s="38">
        <f t="shared" si="7"/>
        <v>7.7954577509201721</v>
      </c>
      <c r="M16" s="38">
        <f t="shared" si="8"/>
        <v>221.20874809843244</v>
      </c>
      <c r="N16" s="38">
        <f t="shared" si="9"/>
        <v>198.72082550844254</v>
      </c>
      <c r="O16" s="38">
        <f t="shared" si="10"/>
        <v>8.1594395161078079</v>
      </c>
      <c r="P16" s="34">
        <f t="shared" si="11"/>
        <v>9.9196282546638201</v>
      </c>
    </row>
    <row r="17" spans="1:16">
      <c r="A17" s="5" t="s">
        <v>383</v>
      </c>
      <c r="B17" s="5">
        <v>15</v>
      </c>
      <c r="D17" s="56">
        <v>19</v>
      </c>
      <c r="E17" s="9">
        <f t="shared" si="0"/>
        <v>8.7123285623953262</v>
      </c>
      <c r="F17" s="36">
        <f t="shared" si="1"/>
        <v>165.5342426855112</v>
      </c>
      <c r="G17" s="36">
        <f t="shared" si="2"/>
        <v>148.25072292296102</v>
      </c>
      <c r="H17" s="9">
        <f t="shared" si="3"/>
        <v>89.558945942450023</v>
      </c>
      <c r="I17" s="37">
        <f t="shared" si="4"/>
        <v>6832.3726163131905</v>
      </c>
      <c r="J17" s="38">
        <f t="shared" si="5"/>
        <v>148.25072292295897</v>
      </c>
      <c r="K17" s="64">
        <f t="shared" si="6"/>
        <v>1354.7848976699781</v>
      </c>
      <c r="L17" s="2">
        <f t="shared" si="7"/>
        <v>8.1843180944975504</v>
      </c>
      <c r="M17" s="38">
        <f t="shared" si="8"/>
        <v>191.71185899665633</v>
      </c>
      <c r="N17" s="38">
        <f t="shared" si="9"/>
        <v>172.22256898547883</v>
      </c>
      <c r="O17" s="38">
        <f t="shared" si="10"/>
        <v>8.9528303990586711</v>
      </c>
      <c r="P17" s="34">
        <f t="shared" si="11"/>
        <v>9.9944139077431</v>
      </c>
    </row>
    <row r="18" spans="1:16" ht="17">
      <c r="A18" s="5" t="s">
        <v>17</v>
      </c>
      <c r="B18" s="5">
        <v>300</v>
      </c>
      <c r="D18" s="56">
        <v>18</v>
      </c>
      <c r="E18" s="9">
        <f t="shared" si="0"/>
        <v>7.9001241267692199</v>
      </c>
      <c r="F18" s="36">
        <f t="shared" si="1"/>
        <v>142.20223428184596</v>
      </c>
      <c r="G18" s="36">
        <f t="shared" si="2"/>
        <v>127.42795615011225</v>
      </c>
      <c r="H18" s="36">
        <f t="shared" si="3"/>
        <v>89.610375528663653</v>
      </c>
      <c r="I18" s="37">
        <f t="shared" si="4"/>
        <v>6496.2217703952001</v>
      </c>
      <c r="J18" s="38">
        <f t="shared" si="5"/>
        <v>127.42795615011025</v>
      </c>
      <c r="K18" s="64">
        <f t="shared" si="6"/>
        <v>1224.7542217049011</v>
      </c>
      <c r="L18" s="38">
        <f t="shared" si="7"/>
        <v>8.612763560925691</v>
      </c>
      <c r="M18" s="38">
        <f t="shared" si="8"/>
        <v>164.78469635778578</v>
      </c>
      <c r="N18" s="38">
        <f t="shared" si="9"/>
        <v>148.03280237726412</v>
      </c>
      <c r="O18" s="38">
        <f t="shared" si="10"/>
        <v>9.8732625903560756</v>
      </c>
      <c r="P18" s="34">
        <f t="shared" si="11"/>
        <v>10.068637117154218</v>
      </c>
    </row>
    <row r="19" spans="1:16">
      <c r="A19" s="5" t="s">
        <v>157</v>
      </c>
      <c r="B19" s="5">
        <v>390</v>
      </c>
      <c r="D19" s="56">
        <v>17</v>
      </c>
      <c r="E19" s="9">
        <f t="shared" si="0"/>
        <v>7.1236047520387595</v>
      </c>
      <c r="F19" s="36">
        <f t="shared" si="1"/>
        <v>121.10128078465891</v>
      </c>
      <c r="G19" s="36">
        <f t="shared" si="2"/>
        <v>108.52725739386479</v>
      </c>
      <c r="H19" s="9">
        <f t="shared" si="3"/>
        <v>89.616936080838698</v>
      </c>
      <c r="I19" s="37">
        <f t="shared" si="4"/>
        <v>6157.7050049398304</v>
      </c>
      <c r="J19" s="38">
        <f t="shared" si="5"/>
        <v>108.52725739386412</v>
      </c>
      <c r="K19" s="64">
        <f t="shared" si="6"/>
        <v>1100.4365810134495</v>
      </c>
      <c r="L19" s="2">
        <f t="shared" si="7"/>
        <v>9.0869111695873386</v>
      </c>
      <c r="M19" s="38">
        <f t="shared" si="8"/>
        <v>140.34307460071182</v>
      </c>
      <c r="N19" s="38">
        <f t="shared" si="9"/>
        <v>126.07589834845258</v>
      </c>
      <c r="O19" s="38">
        <f t="shared" si="10"/>
        <v>10.949512601422276</v>
      </c>
      <c r="P19" s="34">
        <f t="shared" si="11"/>
        <v>10.142310385175312</v>
      </c>
    </row>
    <row r="20" spans="1:16">
      <c r="A20" s="5" t="s">
        <v>158</v>
      </c>
      <c r="B20" s="5">
        <v>0.17</v>
      </c>
      <c r="D20" s="56">
        <v>16.5</v>
      </c>
      <c r="E20" s="9">
        <f t="shared" si="0"/>
        <v>6.7489647290116768</v>
      </c>
      <c r="F20" s="36">
        <f t="shared" si="1"/>
        <v>111.35791802869267</v>
      </c>
      <c r="G20" s="36">
        <f t="shared" si="2"/>
        <v>99.776499794390247</v>
      </c>
      <c r="H20" s="36">
        <f t="shared" si="3"/>
        <v>89.599825105100891</v>
      </c>
      <c r="I20" s="37">
        <f t="shared" si="4"/>
        <v>5987.5436384665263</v>
      </c>
      <c r="J20" s="38">
        <f t="shared" si="5"/>
        <v>99.776499794389807</v>
      </c>
      <c r="K20" s="64">
        <f t="shared" si="6"/>
        <v>1040.4582143597038</v>
      </c>
      <c r="L20" s="38">
        <f t="shared" si="7"/>
        <v>9.3433698544150001</v>
      </c>
      <c r="M20" s="38">
        <f t="shared" si="8"/>
        <v>129.0269476102475</v>
      </c>
      <c r="N20" s="38">
        <f t="shared" si="9"/>
        <v>115.91016070726849</v>
      </c>
      <c r="O20" s="38">
        <f t="shared" si="10"/>
        <v>11.557328143189508</v>
      </c>
      <c r="P20" s="34">
        <f t="shared" si="11"/>
        <v>10.17894457268331</v>
      </c>
    </row>
    <row r="21" spans="1:16">
      <c r="A21" s="5" t="s">
        <v>250</v>
      </c>
      <c r="B21" s="5">
        <v>0</v>
      </c>
      <c r="D21" s="56">
        <v>15.875</v>
      </c>
      <c r="E21" s="9">
        <f t="shared" si="0"/>
        <v>6.2936279158712631</v>
      </c>
      <c r="F21" s="36">
        <f t="shared" si="1"/>
        <v>99.911343164456298</v>
      </c>
      <c r="G21" s="36">
        <f t="shared" si="2"/>
        <v>89.476414452497039</v>
      </c>
      <c r="H21" s="9">
        <f t="shared" si="3"/>
        <v>89.555811801285529</v>
      </c>
      <c r="I21" s="37">
        <f t="shared" si="4"/>
        <v>5773.9824691777349</v>
      </c>
      <c r="J21" s="38">
        <f t="shared" si="5"/>
        <v>89.476414452496343</v>
      </c>
      <c r="K21" s="65">
        <f t="shared" si="6"/>
        <v>967.56061492860499</v>
      </c>
      <c r="L21" s="2">
        <f t="shared" si="7"/>
        <v>9.6841918473258701</v>
      </c>
      <c r="M21" s="38">
        <f t="shared" si="8"/>
        <v>115.70729243565017</v>
      </c>
      <c r="N21" s="38">
        <f t="shared" si="9"/>
        <v>103.94457211939765</v>
      </c>
      <c r="O21" s="38">
        <f t="shared" si="10"/>
        <v>12.393487673985254</v>
      </c>
      <c r="P21" s="34">
        <f t="shared" si="11"/>
        <v>10.224550441363567</v>
      </c>
    </row>
    <row r="22" spans="1:16">
      <c r="D22" s="56">
        <v>14.5</v>
      </c>
      <c r="E22" s="9">
        <f t="shared" si="0"/>
        <v>5.3435123722307161</v>
      </c>
      <c r="F22" s="36">
        <f t="shared" si="1"/>
        <v>77.480929397345378</v>
      </c>
      <c r="G22" s="36">
        <f t="shared" si="2"/>
        <v>69.228997512894125</v>
      </c>
      <c r="H22" s="9">
        <f t="shared" si="3"/>
        <v>89.349725218017355</v>
      </c>
      <c r="I22" s="37">
        <f t="shared" si="4"/>
        <v>5300.7251297211033</v>
      </c>
      <c r="J22" s="38">
        <f t="shared" si="5"/>
        <v>69.228997512893685</v>
      </c>
      <c r="K22" s="64">
        <f t="shared" si="6"/>
        <v>815.45092312512827</v>
      </c>
      <c r="L22" s="2">
        <f t="shared" si="7"/>
        <v>10.524537192155401</v>
      </c>
      <c r="M22" s="38">
        <f t="shared" si="8"/>
        <v>89.524149009167232</v>
      </c>
      <c r="N22" s="38">
        <f t="shared" si="9"/>
        <v>80.42318826435509</v>
      </c>
      <c r="O22" s="38">
        <f t="shared" si="10"/>
        <v>14.597140338881244</v>
      </c>
      <c r="P22" s="34">
        <f t="shared" si="11"/>
        <v>10.324165551219199</v>
      </c>
    </row>
    <row r="23" spans="1:16">
      <c r="D23" s="56">
        <v>13.5</v>
      </c>
      <c r="E23" s="9">
        <f t="shared" si="0"/>
        <v>4.6980944110936615</v>
      </c>
      <c r="F23" s="36">
        <f t="shared" si="1"/>
        <v>63.424274549764434</v>
      </c>
      <c r="G23" s="36">
        <f t="shared" si="2"/>
        <v>56.496688075992495</v>
      </c>
      <c r="H23" s="36">
        <f t="shared" si="3"/>
        <v>89.077389496451616</v>
      </c>
      <c r="I23" s="37">
        <f t="shared" si="4"/>
        <v>4953.51634054449</v>
      </c>
      <c r="J23" s="38">
        <f t="shared" si="5"/>
        <v>56.496688075992516</v>
      </c>
      <c r="K23" s="64">
        <f t="shared" si="6"/>
        <v>712.12209347899</v>
      </c>
      <c r="L23" s="38">
        <f t="shared" si="7"/>
        <v>11.227910741339885</v>
      </c>
      <c r="M23" s="38">
        <f t="shared" si="8"/>
        <v>73.059239676229467</v>
      </c>
      <c r="N23" s="38">
        <f t="shared" si="9"/>
        <v>65.632089798813766</v>
      </c>
      <c r="O23" s="38">
        <f t="shared" si="10"/>
        <v>16.602476062596306</v>
      </c>
      <c r="P23" s="34">
        <f t="shared" si="11"/>
        <v>10.396006093682866</v>
      </c>
    </row>
    <row r="24" spans="1:16">
      <c r="D24" s="56">
        <v>13.05</v>
      </c>
      <c r="E24" s="9">
        <f t="shared" si="0"/>
        <v>4.4204417565995877</v>
      </c>
      <c r="F24" s="36">
        <f t="shared" si="1"/>
        <v>57.686764923624622</v>
      </c>
      <c r="G24" s="36">
        <f t="shared" si="2"/>
        <v>51.290281793286937</v>
      </c>
      <c r="H24" s="9">
        <f t="shared" si="3"/>
        <v>88.911697269197859</v>
      </c>
      <c r="I24" s="37">
        <f t="shared" si="4"/>
        <v>4796.4247115374474</v>
      </c>
      <c r="J24" s="38">
        <f t="shared" si="5"/>
        <v>51.290281793287853</v>
      </c>
      <c r="K24" s="66">
        <f t="shared" si="6"/>
        <v>667.67101593775351</v>
      </c>
      <c r="L24" s="2">
        <f t="shared" si="7"/>
        <v>11.574076251662369</v>
      </c>
      <c r="M24" s="38">
        <f t="shared" si="8"/>
        <v>66.326524938184875</v>
      </c>
      <c r="N24" s="38">
        <f t="shared" si="9"/>
        <v>59.583818009572632</v>
      </c>
      <c r="O24" s="38">
        <f t="shared" si="10"/>
        <v>17.645295265693374</v>
      </c>
      <c r="P24" s="34">
        <f t="shared" si="11"/>
        <v>10.428170913963958</v>
      </c>
    </row>
    <row r="25" spans="1:16">
      <c r="D25" s="60">
        <v>10</v>
      </c>
      <c r="E25" s="17">
        <f t="shared" si="0"/>
        <v>2.755023583670174</v>
      </c>
      <c r="F25" s="61">
        <f t="shared" si="1"/>
        <v>27.550235836701738</v>
      </c>
      <c r="G25" s="61">
        <f t="shared" si="2"/>
        <v>23.876997998089319</v>
      </c>
      <c r="H25" s="61">
        <f t="shared" si="3"/>
        <v>86.667127423573547</v>
      </c>
      <c r="I25" s="62">
        <f t="shared" si="4"/>
        <v>3717.3419364026672</v>
      </c>
      <c r="J25" s="38">
        <f t="shared" si="5"/>
        <v>23.87699799808901</v>
      </c>
      <c r="K25" s="38">
        <f t="shared" si="6"/>
        <v>401.04423911695176</v>
      </c>
      <c r="L25" s="38">
        <f t="shared" si="7"/>
        <v>14.556835066460325</v>
      </c>
      <c r="M25" s="38">
        <f t="shared" si="8"/>
        <v>30.876771345336806</v>
      </c>
      <c r="N25" s="38">
        <f t="shared" si="9"/>
        <v>27.737860927861902</v>
      </c>
      <c r="O25" s="38">
        <f t="shared" si="10"/>
        <v>28.311917350663961</v>
      </c>
      <c r="P25" s="34">
        <f t="shared" si="11"/>
        <v>10.643584743205713</v>
      </c>
    </row>
    <row r="26" spans="1:16">
      <c r="D26" s="36"/>
      <c r="E26" s="9"/>
      <c r="F26" s="36"/>
      <c r="G26" s="36"/>
      <c r="H26" s="36"/>
      <c r="I26" s="36"/>
      <c r="J26" s="38"/>
      <c r="K26" s="38"/>
      <c r="L26" s="38"/>
      <c r="M26" s="38"/>
      <c r="N26" s="38"/>
      <c r="O26" s="38"/>
      <c r="P26" s="92"/>
    </row>
    <row r="27" spans="1:16">
      <c r="D27" s="36"/>
      <c r="E27" s="9"/>
      <c r="F27" s="9"/>
      <c r="G27" s="36"/>
      <c r="H27" s="9"/>
      <c r="I27" s="36"/>
      <c r="J27" s="36"/>
      <c r="K27" s="36"/>
      <c r="L27" s="9"/>
      <c r="M27" s="36"/>
      <c r="N27" s="36"/>
      <c r="O27" s="36"/>
      <c r="P27" s="88"/>
    </row>
    <row r="28" spans="1:16">
      <c r="D28" s="36"/>
      <c r="E28" s="9"/>
      <c r="F28" s="9"/>
      <c r="G28" s="36"/>
      <c r="H28" s="9"/>
      <c r="I28" s="36"/>
      <c r="J28" s="36"/>
      <c r="K28" s="36"/>
      <c r="L28" s="9"/>
      <c r="M28" s="36"/>
      <c r="N28" s="36"/>
      <c r="O28" s="36"/>
      <c r="P28" s="88"/>
    </row>
    <row r="29" spans="1:16">
      <c r="D29" s="36"/>
      <c r="E29" s="9"/>
      <c r="F29" s="9"/>
      <c r="G29" s="36"/>
      <c r="H29" s="9"/>
      <c r="I29" s="36"/>
      <c r="J29" s="36"/>
      <c r="K29" s="36"/>
      <c r="L29" s="9"/>
      <c r="M29" s="36"/>
      <c r="N29" s="36"/>
      <c r="O29" s="36"/>
      <c r="P29" s="88"/>
    </row>
    <row r="30" spans="1:16">
      <c r="H30" s="57" t="s">
        <v>380</v>
      </c>
      <c r="I30" s="90"/>
      <c r="J30" s="90"/>
      <c r="K30" s="91"/>
    </row>
    <row r="31" spans="1:16">
      <c r="O31" s="186" t="s">
        <v>407</v>
      </c>
      <c r="P31" s="186"/>
    </row>
    <row r="32" spans="1:16">
      <c r="D32" s="2"/>
      <c r="E32" s="2"/>
      <c r="F32" s="2"/>
      <c r="G32" s="2"/>
      <c r="H32" s="2"/>
      <c r="I32" s="2"/>
      <c r="J32" s="2"/>
      <c r="K32" s="4" t="s">
        <v>111</v>
      </c>
      <c r="L32" s="2"/>
      <c r="M32" s="2"/>
      <c r="N32" s="2"/>
      <c r="O32" s="89">
        <v>1.25</v>
      </c>
      <c r="P32" s="89" t="s">
        <v>394</v>
      </c>
    </row>
    <row r="33" spans="1:16">
      <c r="D33" s="2"/>
      <c r="E33" s="2"/>
      <c r="F33" s="2"/>
      <c r="G33" s="2"/>
      <c r="H33" s="2"/>
      <c r="I33" s="2"/>
      <c r="J33" s="2"/>
      <c r="K33" s="4">
        <v>1.34</v>
      </c>
      <c r="M33" s="2" t="s">
        <v>113</v>
      </c>
      <c r="N33" s="2" t="s">
        <v>113</v>
      </c>
      <c r="O33" s="89" t="s">
        <v>116</v>
      </c>
    </row>
    <row r="34" spans="1:16">
      <c r="A34" s="5" t="s">
        <v>249</v>
      </c>
      <c r="B34" s="5">
        <v>13</v>
      </c>
      <c r="D34" s="11" t="s">
        <v>425</v>
      </c>
      <c r="E34" s="12" t="s">
        <v>426</v>
      </c>
      <c r="F34" s="12" t="s">
        <v>427</v>
      </c>
      <c r="G34" s="12" t="s">
        <v>302</v>
      </c>
      <c r="H34" s="12" t="s">
        <v>48</v>
      </c>
      <c r="I34" s="13" t="s">
        <v>43</v>
      </c>
      <c r="J34" s="2" t="s">
        <v>303</v>
      </c>
      <c r="K34" s="2" t="s">
        <v>428</v>
      </c>
      <c r="L34" s="9" t="s">
        <v>112</v>
      </c>
      <c r="M34" s="9" t="s">
        <v>123</v>
      </c>
      <c r="N34" s="9" t="s">
        <v>252</v>
      </c>
      <c r="O34" s="89" t="s">
        <v>118</v>
      </c>
      <c r="P34" t="s">
        <v>383</v>
      </c>
    </row>
    <row r="35" spans="1:16">
      <c r="A35" s="5" t="s">
        <v>109</v>
      </c>
      <c r="B35" s="5">
        <v>6.5</v>
      </c>
      <c r="D35" s="35">
        <v>16.7</v>
      </c>
      <c r="E35" s="9">
        <f t="shared" ref="E35:E44" si="12">(0.5+(0.00000036*$B$38*$B$19^3*($B$35*0.0254)*($B$34*0.0254)^4)*($B$20+$B$21)*$D35-(0.25-(0.00000036*$B$38*$B$19^3*($B$35*0.0254)*($B$34*0.0254)^4)*(($B$20+$B$21)^2*$B$14-($B$20+$B$21)*$D35))^(1/2))/((0.00000036*$B$38*$B$19^3*($B$35*0.0254)*($B$34*0.0254)^4)*($B$20+$B$21)^2)</f>
        <v>10.200858441423572</v>
      </c>
      <c r="F35" s="36">
        <f t="shared" ref="F35:F44" si="13">D35*E35</f>
        <v>170.35433597177365</v>
      </c>
      <c r="G35" s="36">
        <f t="shared" ref="G35:G44" si="14">(D35-($B$20+$B$21)*E35)*(E35-$B$14)</f>
        <v>148.92309525540051</v>
      </c>
      <c r="H35" s="9">
        <f t="shared" ref="H35:H44" si="15">G35/F35*100</f>
        <v>87.419609489761314</v>
      </c>
      <c r="I35" s="37">
        <f t="shared" ref="I35:I44" si="16">$B$19*(D35-(E35*($B$20+$B$21)))</f>
        <v>5836.6830853336169</v>
      </c>
      <c r="J35" s="38">
        <f t="shared" ref="J35:J44" si="17">(($B$34*0.0254)^4)*($B$35*0.0254)*(I35^3)*2*$B$38*0.00000018</f>
        <v>148.92309525540077</v>
      </c>
      <c r="K35" s="36">
        <f t="shared" ref="K35:K44" si="18">$K$33*0.6*((0.6*3.1416*($B$34*0.0254)^2*J35^2)^(1/3))/9.81*1000</f>
        <v>1358.8781107875736</v>
      </c>
      <c r="L35" s="2">
        <f t="shared" ref="L35:L44" si="19">K35/F35</f>
        <v>7.9767744274658723</v>
      </c>
      <c r="M35" s="38">
        <f t="shared" ref="M35:M44" si="20">1.30652287/($B$34*0.0254)*POWER(K35*0.00981,3/2)</f>
        <v>192.58134379409182</v>
      </c>
      <c r="N35" s="38">
        <f t="shared" ref="N35:N44" si="21">POWER(I35/$B$37,3)*100</f>
        <v>172.1517553985166</v>
      </c>
      <c r="O35" s="38">
        <f t="shared" ref="O35:O44" si="22">0.65*60*O$10/E35</f>
        <v>7.646415294153889</v>
      </c>
      <c r="P35" s="33">
        <f t="shared" ref="P35:P44" si="23">($B$20*$B$14+SQRT($B$20^2*$B$14^2+4*$B$20*($R$9-(D35*$B$14))))/(2*$B$20)</f>
        <v>10.164306939402211</v>
      </c>
    </row>
    <row r="36" spans="1:16">
      <c r="A36" s="10"/>
      <c r="B36" s="5"/>
      <c r="D36" s="56">
        <v>16.600000000000001</v>
      </c>
      <c r="E36" s="9">
        <f t="shared" si="12"/>
        <v>10.092638467123852</v>
      </c>
      <c r="F36" s="36">
        <f t="shared" si="13"/>
        <v>167.53779855425594</v>
      </c>
      <c r="G36" s="36">
        <f t="shared" si="14"/>
        <v>146.50030598033712</v>
      </c>
      <c r="H36" s="36">
        <f t="shared" si="15"/>
        <v>87.443136560549959</v>
      </c>
      <c r="I36" s="37">
        <f t="shared" si="16"/>
        <v>5804.8580696296885</v>
      </c>
      <c r="J36" s="38">
        <f t="shared" si="17"/>
        <v>146.50030598033709</v>
      </c>
      <c r="K36" s="63">
        <f t="shared" si="18"/>
        <v>1344.0997120100635</v>
      </c>
      <c r="L36" s="38">
        <f t="shared" si="19"/>
        <v>8.0226654737544862</v>
      </c>
      <c r="M36" s="38">
        <f t="shared" si="20"/>
        <v>189.44829036459191</v>
      </c>
      <c r="N36" s="38">
        <f t="shared" si="21"/>
        <v>169.35106537829088</v>
      </c>
      <c r="O36" s="38">
        <f t="shared" si="22"/>
        <v>7.7284052385389801</v>
      </c>
      <c r="P36" s="34">
        <f t="shared" si="23"/>
        <v>10.171628421866652</v>
      </c>
    </row>
    <row r="37" spans="1:16">
      <c r="A37" s="4" t="s">
        <v>14</v>
      </c>
      <c r="B37" s="4">
        <v>4870</v>
      </c>
      <c r="D37" s="56">
        <v>16</v>
      </c>
      <c r="E37" s="9">
        <f t="shared" si="12"/>
        <v>9.4535250166361742</v>
      </c>
      <c r="F37" s="36">
        <f t="shared" si="13"/>
        <v>151.25640026617879</v>
      </c>
      <c r="G37" s="36">
        <f t="shared" si="14"/>
        <v>132.4654220885576</v>
      </c>
      <c r="H37" s="9">
        <f t="shared" si="15"/>
        <v>87.576738475493869</v>
      </c>
      <c r="I37" s="37">
        <f t="shared" si="16"/>
        <v>5613.2312913970218</v>
      </c>
      <c r="J37" s="38">
        <f t="shared" si="17"/>
        <v>132.46542208855703</v>
      </c>
      <c r="K37" s="64">
        <f t="shared" si="18"/>
        <v>1256.8230932851536</v>
      </c>
      <c r="L37" s="2">
        <f t="shared" si="19"/>
        <v>8.3092225590018991</v>
      </c>
      <c r="M37" s="38">
        <f t="shared" si="20"/>
        <v>171.29894425250828</v>
      </c>
      <c r="N37" s="38">
        <f t="shared" si="21"/>
        <v>153.12705462535379</v>
      </c>
      <c r="O37" s="38">
        <f t="shared" si="22"/>
        <v>8.2508905263102115</v>
      </c>
      <c r="P37" s="34">
        <f t="shared" si="23"/>
        <v>10.215445757657848</v>
      </c>
    </row>
    <row r="38" spans="1:16">
      <c r="A38" s="4" t="s">
        <v>110</v>
      </c>
      <c r="B38" s="4">
        <v>1.06</v>
      </c>
      <c r="D38" s="56">
        <v>15</v>
      </c>
      <c r="E38" s="9">
        <f t="shared" si="12"/>
        <v>8.4278975615344862</v>
      </c>
      <c r="F38" s="36">
        <f t="shared" si="13"/>
        <v>126.4184634230173</v>
      </c>
      <c r="G38" s="36">
        <f t="shared" si="14"/>
        <v>110.95164132707029</v>
      </c>
      <c r="H38" s="36">
        <f t="shared" si="15"/>
        <v>87.765377242252626</v>
      </c>
      <c r="I38" s="37">
        <f t="shared" si="16"/>
        <v>5291.2303916702631</v>
      </c>
      <c r="J38" s="38">
        <f t="shared" si="17"/>
        <v>110.95164132707166</v>
      </c>
      <c r="K38" s="64">
        <f t="shared" si="18"/>
        <v>1116.764553937581</v>
      </c>
      <c r="L38" s="38">
        <f t="shared" si="19"/>
        <v>8.8338722343167575</v>
      </c>
      <c r="M38" s="38">
        <f t="shared" si="20"/>
        <v>143.47819017784389</v>
      </c>
      <c r="N38" s="38">
        <f t="shared" si="21"/>
        <v>128.25760696180058</v>
      </c>
      <c r="O38" s="38">
        <f t="shared" si="22"/>
        <v>9.2549772265858401</v>
      </c>
      <c r="P38" s="34">
        <f t="shared" si="23"/>
        <v>10.288054847019639</v>
      </c>
    </row>
    <row r="39" spans="1:16">
      <c r="A39" s="5"/>
      <c r="B39" s="5"/>
      <c r="D39" s="56">
        <v>14</v>
      </c>
      <c r="E39" s="9">
        <f t="shared" si="12"/>
        <v>7.4530684004565666</v>
      </c>
      <c r="F39" s="36">
        <f t="shared" si="13"/>
        <v>104.34295760639193</v>
      </c>
      <c r="G39" s="36">
        <f t="shared" si="14"/>
        <v>91.716514154491023</v>
      </c>
      <c r="H39" s="9">
        <f t="shared" si="15"/>
        <v>87.899093775421761</v>
      </c>
      <c r="I39" s="37">
        <f t="shared" si="16"/>
        <v>4965.8615650497295</v>
      </c>
      <c r="J39" s="38">
        <f t="shared" si="17"/>
        <v>91.71651415449027</v>
      </c>
      <c r="K39" s="64">
        <f t="shared" si="18"/>
        <v>983.64297286553574</v>
      </c>
      <c r="L39" s="2">
        <f t="shared" si="19"/>
        <v>9.4270183194929764</v>
      </c>
      <c r="M39" s="38">
        <f t="shared" si="20"/>
        <v>118.6040990733506</v>
      </c>
      <c r="N39" s="38">
        <f t="shared" si="21"/>
        <v>106.02223170053131</v>
      </c>
      <c r="O39" s="38">
        <f t="shared" si="22"/>
        <v>10.465488280668644</v>
      </c>
      <c r="P39" s="34">
        <f t="shared" si="23"/>
        <v>10.360148853769715</v>
      </c>
    </row>
    <row r="40" spans="1:16">
      <c r="A40" s="5"/>
      <c r="B40" s="5"/>
      <c r="D40" s="56">
        <v>12.7</v>
      </c>
      <c r="E40" s="9">
        <f t="shared" si="12"/>
        <v>6.2644222015480349</v>
      </c>
      <c r="F40" s="36">
        <f t="shared" si="13"/>
        <v>79.55816195966004</v>
      </c>
      <c r="G40" s="36">
        <f t="shared" si="14"/>
        <v>69.978092364953682</v>
      </c>
      <c r="H40" s="9">
        <f t="shared" si="15"/>
        <v>87.958407586686164</v>
      </c>
      <c r="I40" s="37">
        <f t="shared" si="16"/>
        <v>4537.6688080373651</v>
      </c>
      <c r="J40" s="38">
        <f t="shared" si="17"/>
        <v>69.978092364953525</v>
      </c>
      <c r="K40" s="65">
        <f t="shared" si="18"/>
        <v>821.32277600254849</v>
      </c>
      <c r="L40" s="2">
        <f t="shared" si="19"/>
        <v>10.323551421650492</v>
      </c>
      <c r="M40" s="38">
        <f t="shared" si="20"/>
        <v>90.49284827633943</v>
      </c>
      <c r="N40" s="38">
        <f t="shared" si="21"/>
        <v>80.893104050826494</v>
      </c>
      <c r="O40" s="38">
        <f t="shared" si="22"/>
        <v>12.451268048428314</v>
      </c>
      <c r="P40" s="34">
        <f t="shared" si="23"/>
        <v>10.453118742767526</v>
      </c>
    </row>
    <row r="41" spans="1:16">
      <c r="A41" s="5"/>
      <c r="B41" s="5"/>
      <c r="D41" s="56">
        <v>12</v>
      </c>
      <c r="E41" s="9">
        <f t="shared" si="12"/>
        <v>5.6624062471423109</v>
      </c>
      <c r="F41" s="36">
        <f t="shared" si="13"/>
        <v>67.948874965707731</v>
      </c>
      <c r="G41" s="36">
        <f t="shared" si="14"/>
        <v>59.738843664906312</v>
      </c>
      <c r="H41" s="36">
        <f t="shared" si="15"/>
        <v>87.917340346039822</v>
      </c>
      <c r="I41" s="37">
        <f t="shared" si="16"/>
        <v>4304.5824658144647</v>
      </c>
      <c r="J41" s="38">
        <f t="shared" si="17"/>
        <v>59.738843664906653</v>
      </c>
      <c r="K41" s="64">
        <f t="shared" si="18"/>
        <v>739.11214989402004</v>
      </c>
      <c r="L41" s="38">
        <f t="shared" si="19"/>
        <v>10.877474428635255</v>
      </c>
      <c r="M41" s="38">
        <f t="shared" si="20"/>
        <v>77.251864594693686</v>
      </c>
      <c r="N41" s="38">
        <f t="shared" si="21"/>
        <v>69.056762382987529</v>
      </c>
      <c r="O41" s="38">
        <f t="shared" si="22"/>
        <v>13.77506250798675</v>
      </c>
      <c r="P41" s="34">
        <f t="shared" si="23"/>
        <v>10.502834481692785</v>
      </c>
    </row>
    <row r="42" spans="1:16">
      <c r="A42" s="5"/>
      <c r="B42" s="5"/>
      <c r="D42" s="56">
        <v>11</v>
      </c>
      <c r="E42" s="9">
        <f t="shared" si="12"/>
        <v>4.8501030245121264</v>
      </c>
      <c r="F42" s="36">
        <f t="shared" si="13"/>
        <v>53.351133269633394</v>
      </c>
      <c r="G42" s="36">
        <f t="shared" si="14"/>
        <v>46.808267758950272</v>
      </c>
      <c r="H42" s="9">
        <f t="shared" si="15"/>
        <v>87.736220189333409</v>
      </c>
      <c r="I42" s="37">
        <f t="shared" si="16"/>
        <v>3968.4381694748463</v>
      </c>
      <c r="J42" s="38">
        <f t="shared" si="17"/>
        <v>46.808267758950038</v>
      </c>
      <c r="K42" s="64">
        <f t="shared" si="18"/>
        <v>628.18492938815587</v>
      </c>
      <c r="L42" s="2">
        <f t="shared" si="19"/>
        <v>11.774537688137707</v>
      </c>
      <c r="M42" s="38">
        <f t="shared" si="20"/>
        <v>60.530565055961986</v>
      </c>
      <c r="N42" s="38">
        <f t="shared" si="21"/>
        <v>54.109306874447363</v>
      </c>
      <c r="O42" s="38">
        <f t="shared" si="22"/>
        <v>16.082132607450344</v>
      </c>
      <c r="P42" s="34">
        <f t="shared" si="23"/>
        <v>10.573446619699306</v>
      </c>
    </row>
    <row r="43" spans="1:16">
      <c r="A43" s="5"/>
      <c r="B43" s="5"/>
      <c r="D43" s="56">
        <v>10.02</v>
      </c>
      <c r="E43" s="9">
        <f t="shared" si="12"/>
        <v>4.110180777325299</v>
      </c>
      <c r="F43" s="36">
        <f t="shared" si="13"/>
        <v>41.18401138879949</v>
      </c>
      <c r="G43" s="36">
        <f t="shared" si="14"/>
        <v>35.981784448045772</v>
      </c>
      <c r="H43" s="9">
        <f t="shared" si="15"/>
        <v>87.368333570904824</v>
      </c>
      <c r="I43" s="37">
        <f t="shared" si="16"/>
        <v>3635.2950144633328</v>
      </c>
      <c r="J43" s="38">
        <f t="shared" si="17"/>
        <v>35.981784448046113</v>
      </c>
      <c r="K43" s="66">
        <f t="shared" si="18"/>
        <v>527.14197401846729</v>
      </c>
      <c r="L43" s="2">
        <f t="shared" si="19"/>
        <v>12.79967531676213</v>
      </c>
      <c r="M43" s="38">
        <f t="shared" si="20"/>
        <v>46.530193246589633</v>
      </c>
      <c r="N43" s="38">
        <f t="shared" si="21"/>
        <v>41.594135177482087</v>
      </c>
      <c r="O43" s="38">
        <f t="shared" si="22"/>
        <v>18.977267479402332</v>
      </c>
      <c r="P43" s="34">
        <f t="shared" si="23"/>
        <v>10.642186564632867</v>
      </c>
    </row>
    <row r="44" spans="1:16">
      <c r="D44" s="60">
        <v>8.6999999999999993</v>
      </c>
      <c r="E44" s="17">
        <f t="shared" si="12"/>
        <v>3.2047816707844046</v>
      </c>
      <c r="F44" s="61">
        <f t="shared" si="13"/>
        <v>27.881600535824319</v>
      </c>
      <c r="G44" s="61">
        <f t="shared" si="14"/>
        <v>24.096797412075389</v>
      </c>
      <c r="H44" s="17">
        <f t="shared" si="15"/>
        <v>86.425445272103602</v>
      </c>
      <c r="I44" s="62">
        <f t="shared" si="16"/>
        <v>3180.5229752269938</v>
      </c>
      <c r="J44" s="38">
        <f t="shared" si="17"/>
        <v>24.096797412075361</v>
      </c>
      <c r="K44" s="36">
        <f t="shared" si="18"/>
        <v>403.50168362065824</v>
      </c>
      <c r="L44" s="2">
        <f t="shared" si="19"/>
        <v>14.471969896498939</v>
      </c>
      <c r="M44" s="38">
        <f t="shared" si="20"/>
        <v>31.161007087536831</v>
      </c>
      <c r="N44" s="38">
        <f t="shared" si="21"/>
        <v>27.855356933435509</v>
      </c>
      <c r="O44" s="38">
        <f t="shared" si="22"/>
        <v>24.338631461564951</v>
      </c>
      <c r="P44" s="34">
        <f t="shared" si="23"/>
        <v>10.734071104761355</v>
      </c>
    </row>
    <row r="46" spans="1:16">
      <c r="D46" s="36"/>
      <c r="E46" s="9"/>
      <c r="F46" s="9"/>
      <c r="G46" s="36"/>
      <c r="H46" s="9"/>
      <c r="I46" s="36"/>
      <c r="J46" s="36"/>
      <c r="K46" s="36"/>
      <c r="L46" s="9"/>
      <c r="M46" s="36"/>
      <c r="N46" s="36"/>
      <c r="O46" s="36"/>
      <c r="P46" s="88"/>
    </row>
    <row r="47" spans="1:16">
      <c r="D47" s="36"/>
      <c r="E47" s="9"/>
      <c r="F47" s="9"/>
      <c r="G47" s="36"/>
      <c r="H47" s="9"/>
      <c r="I47" s="36"/>
      <c r="J47" s="36"/>
      <c r="K47" s="36"/>
      <c r="L47" s="9"/>
      <c r="M47" s="36"/>
      <c r="N47" s="36"/>
      <c r="O47" s="36"/>
      <c r="P47" s="88"/>
    </row>
    <row r="49" spans="1:16">
      <c r="H49" s="57" t="s">
        <v>281</v>
      </c>
      <c r="I49" s="90"/>
      <c r="J49" s="90"/>
      <c r="K49" s="91"/>
    </row>
    <row r="50" spans="1:16">
      <c r="O50" s="186" t="s">
        <v>407</v>
      </c>
      <c r="P50" s="186"/>
    </row>
    <row r="51" spans="1:16">
      <c r="D51" s="2"/>
      <c r="E51" s="2"/>
      <c r="F51" s="2"/>
      <c r="G51" s="2"/>
      <c r="H51" s="2"/>
      <c r="I51" s="2"/>
      <c r="J51" s="2"/>
      <c r="K51" s="4" t="s">
        <v>111</v>
      </c>
      <c r="L51" s="2"/>
      <c r="M51" s="2"/>
      <c r="N51" s="2"/>
      <c r="O51" s="89">
        <v>1.25</v>
      </c>
      <c r="P51" s="89" t="s">
        <v>394</v>
      </c>
    </row>
    <row r="52" spans="1:16">
      <c r="D52" s="2"/>
      <c r="E52" s="2"/>
      <c r="F52" s="2"/>
      <c r="G52" s="2"/>
      <c r="H52" s="2"/>
      <c r="I52" s="2"/>
      <c r="J52" s="2"/>
      <c r="K52" s="4">
        <v>1.165</v>
      </c>
      <c r="M52" s="2" t="s">
        <v>113</v>
      </c>
      <c r="N52" s="2" t="s">
        <v>113</v>
      </c>
      <c r="O52" s="89" t="s">
        <v>116</v>
      </c>
    </row>
    <row r="53" spans="1:16">
      <c r="A53" s="5" t="s">
        <v>249</v>
      </c>
      <c r="B53" s="5">
        <v>14</v>
      </c>
      <c r="D53" s="11" t="s">
        <v>425</v>
      </c>
      <c r="E53" s="12" t="s">
        <v>426</v>
      </c>
      <c r="F53" s="12" t="s">
        <v>427</v>
      </c>
      <c r="G53" s="12" t="s">
        <v>302</v>
      </c>
      <c r="H53" s="12" t="s">
        <v>48</v>
      </c>
      <c r="I53" s="13" t="s">
        <v>43</v>
      </c>
      <c r="J53" s="2" t="s">
        <v>303</v>
      </c>
      <c r="K53" s="2" t="s">
        <v>428</v>
      </c>
      <c r="L53" s="9" t="s">
        <v>112</v>
      </c>
      <c r="M53" s="9" t="s">
        <v>123</v>
      </c>
      <c r="N53" s="9" t="s">
        <v>252</v>
      </c>
      <c r="O53" s="89" t="s">
        <v>118</v>
      </c>
      <c r="P53" t="s">
        <v>383</v>
      </c>
    </row>
    <row r="54" spans="1:16">
      <c r="A54" s="5" t="s">
        <v>109</v>
      </c>
      <c r="B54" s="5">
        <v>4.7</v>
      </c>
      <c r="D54" s="35">
        <v>17.8</v>
      </c>
      <c r="E54" s="9">
        <f t="shared" ref="E54:E63" si="24">(0.5+(0.00000036*$B$57*$B$19^3*($B$54*0.0254)*($B$53*0.0254)^4)*($B$20+$B$21)*$D54-(0.25-(0.00000036*$B$57*$B$19^3*($B$54*0.0254)*($B$53*0.0254)^4)*(($B$20+$B$21)^2*$B$14-($B$20+$B$21)*$D54))^(1/2))/((0.00000036*$B$57*$B$19^3*($B$54*0.0254)*($B$53*0.0254)^4)*($B$20+$B$21)^2)</f>
        <v>10.124660621879741</v>
      </c>
      <c r="F54" s="36">
        <f t="shared" ref="F54:F63" si="25">D54*E54</f>
        <v>180.2189590694594</v>
      </c>
      <c r="G54" s="36">
        <f t="shared" ref="G54:G63" si="26">(D54-($B$20+$B$21)*E54)*(E54-$B$14)</f>
        <v>158.7727691854881</v>
      </c>
      <c r="H54" s="9">
        <f t="shared" ref="H54:H63" si="27">G54/F54*100</f>
        <v>88.099925782111754</v>
      </c>
      <c r="I54" s="37">
        <f t="shared" ref="I54:I63" si="28">$B$19*(D54-(E54*($B$20+$B$21)))</f>
        <v>6270.735000769374</v>
      </c>
      <c r="J54" s="38">
        <f t="shared" ref="J54:J63" si="29">(($B$53*0.0254)^4)*($B$54*0.0254)*(I54^3)*2*$B$57*0.00000018</f>
        <v>158.77276918548711</v>
      </c>
      <c r="K54" s="36">
        <f>$K$52*0.6*((0.6*3.1416*($B$53*0.0254)^2*J54^2)^(1/3))/9.81*1000</f>
        <v>1295.3905636542979</v>
      </c>
      <c r="L54" s="2">
        <f t="shared" ref="L54:L63" si="30">K54/F54</f>
        <v>7.1878706343822172</v>
      </c>
      <c r="M54" s="38">
        <f t="shared" ref="M54:M63" si="31">1.30652287/($B$53*0.0254)*POWER(K54*0.00981,3/2)</f>
        <v>166.44082838355757</v>
      </c>
      <c r="N54" s="38">
        <f t="shared" ref="N54:N63" si="32">POWER(I54/$B$56,3)*100</f>
        <v>175.36596651491348</v>
      </c>
      <c r="O54" s="38">
        <f t="shared" ref="O54:O63" si="33">0.65*60*O$10/E54</f>
        <v>7.7039619314685286</v>
      </c>
      <c r="P54" s="33">
        <f t="shared" ref="P54:P63" si="34">($B$20*$B$14+SQRT($B$20^2*$B$14^2+4*$B$20*($R$9-(D54*$B$14))))/(2*$B$20)</f>
        <v>10.083415374180063</v>
      </c>
    </row>
    <row r="55" spans="1:16">
      <c r="A55" s="10"/>
      <c r="B55" s="5"/>
      <c r="D55" s="56">
        <v>17.7</v>
      </c>
      <c r="E55" s="9">
        <f t="shared" si="24"/>
        <v>10.023265996355018</v>
      </c>
      <c r="F55" s="36">
        <f t="shared" si="25"/>
        <v>177.41180813548382</v>
      </c>
      <c r="G55" s="36">
        <f t="shared" si="26"/>
        <v>156.33360053060215</v>
      </c>
      <c r="H55" s="36">
        <f t="shared" si="27"/>
        <v>88.119050345969697</v>
      </c>
      <c r="I55" s="37">
        <f t="shared" si="28"/>
        <v>6238.4574644416625</v>
      </c>
      <c r="J55" s="38">
        <f t="shared" si="29"/>
        <v>156.33360053060221</v>
      </c>
      <c r="K55" s="63">
        <f t="shared" ref="K55:K63" si="35">$K$52*0.6*((0.6*3.1416*($B$53*0.0254)^2*J55^2)^(1/3))/9.81*1000</f>
        <v>1282.0892821075815</v>
      </c>
      <c r="L55" s="38">
        <f t="shared" si="30"/>
        <v>7.2266287998625787</v>
      </c>
      <c r="M55" s="38">
        <f t="shared" si="31"/>
        <v>163.88385810730094</v>
      </c>
      <c r="N55" s="38">
        <f t="shared" si="32"/>
        <v>172.67188256808095</v>
      </c>
      <c r="O55" s="38">
        <f t="shared" si="33"/>
        <v>7.781894646751355</v>
      </c>
      <c r="P55" s="34">
        <f t="shared" si="34"/>
        <v>10.090796284704762</v>
      </c>
    </row>
    <row r="56" spans="1:16">
      <c r="A56" s="4" t="s">
        <v>14</v>
      </c>
      <c r="B56" s="4">
        <v>5200</v>
      </c>
      <c r="D56" s="56">
        <v>17</v>
      </c>
      <c r="E56" s="9">
        <f t="shared" si="24"/>
        <v>9.3257109800448301</v>
      </c>
      <c r="F56" s="36">
        <f t="shared" si="25"/>
        <v>158.5370866607621</v>
      </c>
      <c r="G56" s="36">
        <f t="shared" si="26"/>
        <v>139.89871887924815</v>
      </c>
      <c r="H56" s="9">
        <f t="shared" si="27"/>
        <v>88.243528265789095</v>
      </c>
      <c r="I56" s="37">
        <f t="shared" si="28"/>
        <v>6011.7053620230281</v>
      </c>
      <c r="J56" s="38">
        <f t="shared" si="29"/>
        <v>139.89871887924849</v>
      </c>
      <c r="K56" s="64">
        <f t="shared" si="35"/>
        <v>1190.5817133557239</v>
      </c>
      <c r="L56" s="2">
        <f t="shared" si="30"/>
        <v>7.5097993689220015</v>
      </c>
      <c r="M56" s="38">
        <f t="shared" si="31"/>
        <v>146.65524056494797</v>
      </c>
      <c r="N56" s="38">
        <f t="shared" si="32"/>
        <v>154.51940642161514</v>
      </c>
      <c r="O56" s="38">
        <f t="shared" si="33"/>
        <v>8.3639735529982122</v>
      </c>
      <c r="P56" s="34">
        <f t="shared" si="34"/>
        <v>10.142310385175312</v>
      </c>
    </row>
    <row r="57" spans="1:16">
      <c r="A57" s="4" t="s">
        <v>110</v>
      </c>
      <c r="B57" s="4">
        <v>0.93700000000000006</v>
      </c>
      <c r="D57" s="56">
        <v>16</v>
      </c>
      <c r="E57" s="9">
        <f t="shared" si="24"/>
        <v>8.3668680727045857</v>
      </c>
      <c r="F57" s="36">
        <f t="shared" si="25"/>
        <v>133.86988916327337</v>
      </c>
      <c r="G57" s="36">
        <f t="shared" si="26"/>
        <v>118.32471922753594</v>
      </c>
      <c r="H57" s="36">
        <f t="shared" si="27"/>
        <v>88.387851791841044</v>
      </c>
      <c r="I57" s="37">
        <f t="shared" si="28"/>
        <v>5685.2766467796855</v>
      </c>
      <c r="J57" s="38">
        <f t="shared" si="29"/>
        <v>118.32471922753511</v>
      </c>
      <c r="K57" s="64">
        <f t="shared" si="35"/>
        <v>1064.7975368906216</v>
      </c>
      <c r="L57" s="38">
        <f t="shared" si="30"/>
        <v>7.9539733957047618</v>
      </c>
      <c r="M57" s="38">
        <f t="shared" si="31"/>
        <v>124.03930716529301</v>
      </c>
      <c r="N57" s="38">
        <f t="shared" si="32"/>
        <v>130.69072773871579</v>
      </c>
      <c r="O57" s="38">
        <f t="shared" si="33"/>
        <v>9.32248474844023</v>
      </c>
      <c r="P57" s="34">
        <f t="shared" si="34"/>
        <v>10.215445757657848</v>
      </c>
    </row>
    <row r="58" spans="1:16">
      <c r="A58" s="5"/>
      <c r="B58" s="5"/>
      <c r="D58" s="56">
        <v>15</v>
      </c>
      <c r="E58" s="9">
        <f t="shared" si="24"/>
        <v>7.4534404221982005</v>
      </c>
      <c r="F58" s="36">
        <f t="shared" si="25"/>
        <v>111.80160633297301</v>
      </c>
      <c r="G58" s="36">
        <f t="shared" si="26"/>
        <v>98.924235949282561</v>
      </c>
      <c r="H58" s="9">
        <f t="shared" si="27"/>
        <v>88.481945111469656</v>
      </c>
      <c r="I58" s="37">
        <f t="shared" si="28"/>
        <v>5355.8369000082594</v>
      </c>
      <c r="J58" s="38">
        <f t="shared" si="29"/>
        <v>98.924235949283329</v>
      </c>
      <c r="K58" s="64">
        <f t="shared" si="35"/>
        <v>944.97108367308272</v>
      </c>
      <c r="L58" s="2">
        <f t="shared" si="30"/>
        <v>8.4522138336610624</v>
      </c>
      <c r="M58" s="38">
        <f t="shared" si="31"/>
        <v>103.70186186885657</v>
      </c>
      <c r="N58" s="38">
        <f t="shared" si="32"/>
        <v>109.26271764353118</v>
      </c>
      <c r="O58" s="38">
        <f t="shared" si="33"/>
        <v>10.464965919321846</v>
      </c>
      <c r="P58" s="34">
        <f t="shared" si="34"/>
        <v>10.288054847019639</v>
      </c>
    </row>
    <row r="59" spans="1:16">
      <c r="A59" s="5"/>
      <c r="B59" s="5"/>
      <c r="D59" s="56">
        <v>13.95</v>
      </c>
      <c r="E59" s="9">
        <f t="shared" si="24"/>
        <v>6.5446214184389966</v>
      </c>
      <c r="F59" s="36">
        <f t="shared" si="25"/>
        <v>91.297468787223991</v>
      </c>
      <c r="G59" s="36">
        <f t="shared" si="26"/>
        <v>80.806663380690281</v>
      </c>
      <c r="H59" s="9">
        <f t="shared" si="27"/>
        <v>88.509204531197511</v>
      </c>
      <c r="I59" s="37">
        <f t="shared" si="28"/>
        <v>5006.5915999574945</v>
      </c>
      <c r="J59" s="38">
        <f t="shared" si="29"/>
        <v>80.806663380690551</v>
      </c>
      <c r="K59" s="65">
        <f t="shared" si="35"/>
        <v>825.74920794290449</v>
      </c>
      <c r="L59" s="2">
        <f t="shared" si="30"/>
        <v>9.0446013335526168</v>
      </c>
      <c r="M59" s="38">
        <f t="shared" si="31"/>
        <v>84.709286491570424</v>
      </c>
      <c r="N59" s="38">
        <f t="shared" si="32"/>
        <v>89.251694086440153</v>
      </c>
      <c r="O59" s="38">
        <f t="shared" si="33"/>
        <v>11.918183652340936</v>
      </c>
      <c r="P59" s="34">
        <f t="shared" si="34"/>
        <v>10.363740228689672</v>
      </c>
    </row>
    <row r="60" spans="1:16">
      <c r="A60" s="5"/>
      <c r="B60" s="5"/>
      <c r="D60" s="56">
        <v>13</v>
      </c>
      <c r="E60" s="9">
        <f t="shared" si="24"/>
        <v>5.7680139358447198</v>
      </c>
      <c r="F60" s="36">
        <f t="shared" si="25"/>
        <v>74.984181165981354</v>
      </c>
      <c r="G60" s="36">
        <f t="shared" si="26"/>
        <v>66.323424348357946</v>
      </c>
      <c r="H60" s="36">
        <f t="shared" si="27"/>
        <v>88.449888119132254</v>
      </c>
      <c r="I60" s="37">
        <f t="shared" si="28"/>
        <v>4687.5806760534952</v>
      </c>
      <c r="J60" s="38">
        <f t="shared" si="29"/>
        <v>66.323424348356809</v>
      </c>
      <c r="K60" s="64">
        <f t="shared" si="35"/>
        <v>723.87127581559287</v>
      </c>
      <c r="L60" s="38">
        <f t="shared" si="30"/>
        <v>9.6536531380300925</v>
      </c>
      <c r="M60" s="38">
        <f t="shared" si="31"/>
        <v>69.526567725718962</v>
      </c>
      <c r="N60" s="38">
        <f t="shared" si="32"/>
        <v>73.254824949488125</v>
      </c>
      <c r="O60" s="38">
        <f t="shared" si="33"/>
        <v>13.522852210060927</v>
      </c>
      <c r="P60" s="34">
        <f t="shared" si="34"/>
        <v>10.431738586678019</v>
      </c>
    </row>
    <row r="61" spans="1:16">
      <c r="A61" s="5"/>
      <c r="B61" s="5"/>
      <c r="D61" s="56">
        <v>12</v>
      </c>
      <c r="E61" s="9">
        <f t="shared" si="24"/>
        <v>4.9987641203098434</v>
      </c>
      <c r="F61" s="36">
        <f t="shared" si="25"/>
        <v>59.985169443718121</v>
      </c>
      <c r="G61" s="36">
        <f t="shared" si="26"/>
        <v>52.94971765464679</v>
      </c>
      <c r="H61" s="9">
        <f t="shared" si="27"/>
        <v>88.271347977648986</v>
      </c>
      <c r="I61" s="37">
        <f t="shared" si="28"/>
        <v>4348.5819388234577</v>
      </c>
      <c r="J61" s="38">
        <f t="shared" si="29"/>
        <v>52.94971765464679</v>
      </c>
      <c r="K61" s="64">
        <f t="shared" si="35"/>
        <v>622.95854673114957</v>
      </c>
      <c r="L61" s="2">
        <f t="shared" si="30"/>
        <v>10.38520941939905</v>
      </c>
      <c r="M61" s="38">
        <f t="shared" si="31"/>
        <v>55.506967059439937</v>
      </c>
      <c r="N61" s="38">
        <f t="shared" si="32"/>
        <v>58.483444364133931</v>
      </c>
      <c r="O61" s="38">
        <f t="shared" si="33"/>
        <v>15.603856897965661</v>
      </c>
      <c r="P61" s="34">
        <f t="shared" si="34"/>
        <v>10.502834481692785</v>
      </c>
    </row>
    <row r="62" spans="1:16">
      <c r="A62" s="5"/>
      <c r="B62" s="5"/>
      <c r="D62" s="56">
        <v>11</v>
      </c>
      <c r="E62" s="9">
        <f t="shared" si="24"/>
        <v>4.2804363622628792</v>
      </c>
      <c r="F62" s="36">
        <f t="shared" si="25"/>
        <v>47.084799984891674</v>
      </c>
      <c r="G62" s="36">
        <f t="shared" si="26"/>
        <v>41.401955503552863</v>
      </c>
      <c r="H62" s="9">
        <f t="shared" si="27"/>
        <v>87.930617772269841</v>
      </c>
      <c r="I62" s="37">
        <f t="shared" si="28"/>
        <v>4006.2070691819713</v>
      </c>
      <c r="J62" s="38">
        <f t="shared" si="29"/>
        <v>41.401955503552337</v>
      </c>
      <c r="K62" s="66">
        <f t="shared" si="35"/>
        <v>528.72594117473477</v>
      </c>
      <c r="L62" s="2">
        <f t="shared" si="30"/>
        <v>11.229227719866913</v>
      </c>
      <c r="M62" s="38">
        <f t="shared" si="31"/>
        <v>43.401496403076678</v>
      </c>
      <c r="N62" s="38">
        <f t="shared" si="32"/>
        <v>45.728836120542731</v>
      </c>
      <c r="O62" s="38">
        <f t="shared" si="33"/>
        <v>18.222441218297849</v>
      </c>
      <c r="P62" s="34">
        <f t="shared" si="34"/>
        <v>10.573446619699306</v>
      </c>
    </row>
    <row r="63" spans="1:16">
      <c r="D63" s="60">
        <v>9.5</v>
      </c>
      <c r="E63" s="17">
        <f t="shared" si="24"/>
        <v>3.3018413552928125</v>
      </c>
      <c r="F63" s="61">
        <f t="shared" si="25"/>
        <v>31.367492875281719</v>
      </c>
      <c r="G63" s="61">
        <f t="shared" si="26"/>
        <v>27.279454555842943</v>
      </c>
      <c r="H63" s="17">
        <f t="shared" si="27"/>
        <v>86.967277443265971</v>
      </c>
      <c r="I63" s="62">
        <f t="shared" si="28"/>
        <v>3486.0879181440864</v>
      </c>
      <c r="J63" s="38">
        <f t="shared" si="29"/>
        <v>27.279454555842978</v>
      </c>
      <c r="K63" s="36">
        <f t="shared" si="35"/>
        <v>400.35061910449008</v>
      </c>
      <c r="L63" s="2">
        <f t="shared" si="30"/>
        <v>12.763232965296224</v>
      </c>
      <c r="M63" s="38">
        <f t="shared" si="31"/>
        <v>28.596937859172535</v>
      </c>
      <c r="N63" s="38">
        <f t="shared" si="32"/>
        <v>30.13040547649744</v>
      </c>
      <c r="O63" s="38">
        <f t="shared" si="33"/>
        <v>23.623182220722665</v>
      </c>
      <c r="P63" s="34">
        <f t="shared" si="34"/>
        <v>10.678479005410825</v>
      </c>
    </row>
    <row r="67" spans="1:16">
      <c r="H67" s="57" t="s">
        <v>168</v>
      </c>
      <c r="I67" s="58"/>
      <c r="J67" s="58"/>
      <c r="K67" s="58"/>
      <c r="L67" s="58"/>
      <c r="M67" s="59"/>
    </row>
    <row r="68" spans="1:16">
      <c r="O68" s="186" t="s">
        <v>407</v>
      </c>
      <c r="P68" s="186"/>
    </row>
    <row r="69" spans="1:16">
      <c r="D69" s="2"/>
      <c r="E69" s="2"/>
      <c r="F69" s="2"/>
      <c r="G69" s="2"/>
      <c r="H69" s="2"/>
      <c r="I69" s="2"/>
      <c r="J69" s="2"/>
      <c r="K69" s="4" t="s">
        <v>111</v>
      </c>
      <c r="L69" s="2"/>
      <c r="M69" s="2"/>
      <c r="N69" s="2"/>
      <c r="O69" s="89">
        <v>1.25</v>
      </c>
      <c r="P69" s="89" t="s">
        <v>394</v>
      </c>
    </row>
    <row r="70" spans="1:16">
      <c r="D70" s="2"/>
      <c r="E70" s="2"/>
      <c r="F70" s="2"/>
      <c r="G70" s="2"/>
      <c r="H70" s="2"/>
      <c r="I70" s="2"/>
      <c r="J70" s="2"/>
      <c r="K70" s="4">
        <v>1.29</v>
      </c>
      <c r="M70" s="2" t="s">
        <v>113</v>
      </c>
      <c r="N70" s="2" t="s">
        <v>113</v>
      </c>
      <c r="O70" s="89" t="s">
        <v>116</v>
      </c>
    </row>
    <row r="71" spans="1:16">
      <c r="A71" s="5" t="s">
        <v>249</v>
      </c>
      <c r="B71" s="5">
        <v>15</v>
      </c>
      <c r="D71" s="11" t="s">
        <v>425</v>
      </c>
      <c r="E71" s="12" t="s">
        <v>426</v>
      </c>
      <c r="F71" s="12" t="s">
        <v>427</v>
      </c>
      <c r="G71" s="12" t="s">
        <v>302</v>
      </c>
      <c r="H71" s="12" t="s">
        <v>48</v>
      </c>
      <c r="I71" s="13" t="s">
        <v>43</v>
      </c>
      <c r="J71" s="2" t="s">
        <v>303</v>
      </c>
      <c r="K71" s="2" t="s">
        <v>428</v>
      </c>
      <c r="L71" s="9" t="s">
        <v>112</v>
      </c>
      <c r="M71" s="9" t="s">
        <v>123</v>
      </c>
      <c r="N71" s="9" t="s">
        <v>252</v>
      </c>
      <c r="O71" s="89" t="s">
        <v>118</v>
      </c>
      <c r="P71" t="s">
        <v>383</v>
      </c>
    </row>
    <row r="72" spans="1:16">
      <c r="A72" s="5" t="s">
        <v>109</v>
      </c>
      <c r="B72" s="5">
        <v>5</v>
      </c>
      <c r="D72" s="35">
        <v>13.6</v>
      </c>
      <c r="E72" s="9">
        <f t="shared" ref="E72:E79" si="36">(0.5+(0.00000036*$B$75*$B$19^3*($B$72*0.0254)*($B$71*0.0254)^4)*($B$20+$B$21)*$D72-(0.25-(0.00000036*$B$75*$B$19^3*($B$72*0.0254)*($B$71*0.0254)^4)*(($B$20+$B$21)^2*$B$14-($B$20+$B$21)*$D72))^(1/2))/((0.00000036*$B$75*$B$19^3*($B$72*0.0254)*($B$71*0.0254)^4)*($B$20+$B$21)^2)</f>
        <v>10.470024021800151</v>
      </c>
      <c r="F72" s="36">
        <f t="shared" ref="F72:F78" si="37">D72*E72</f>
        <v>142.39232669648206</v>
      </c>
      <c r="G72" s="36">
        <f t="shared" ref="G72:G78" si="38">(D72-($B$20+$B$21)*E72)*(E72-$B$14)</f>
        <v>120.8016642045063</v>
      </c>
      <c r="H72" s="9">
        <f t="shared" ref="H72:H78" si="39">G72/F72*100</f>
        <v>84.837200857039448</v>
      </c>
      <c r="I72" s="37">
        <f t="shared" ref="I72:I78" si="40">$B$19*(D72-(E72*($B$20+$B$21)))</f>
        <v>4609.8374073546502</v>
      </c>
      <c r="J72" s="38">
        <f t="shared" ref="J72:J78" si="41">(($B$71*0.0254)^4)*($B$72*0.0254)*(I72^3)*2*$B$75*0.00000018</f>
        <v>120.80166420450634</v>
      </c>
      <c r="K72" s="36">
        <f>$K$70*0.6*((0.6*3.1416*($B$71*0.0254)^2*J72^2)^(1/3))/9.81*1000</f>
        <v>1251.7125161056972</v>
      </c>
      <c r="L72" s="2">
        <f t="shared" ref="L72:L78" si="42">K72/F72</f>
        <v>8.7905896697214505</v>
      </c>
      <c r="M72" s="38">
        <f t="shared" ref="M72:M78" si="43">1.30652287/($B$71*0.0254)*POWER(K72*0.00981,3/2)</f>
        <v>147.5544949317084</v>
      </c>
      <c r="N72" s="38">
        <f t="shared" ref="N72:N78" si="44">POWER(I72/$B$74,3)*100</f>
        <v>100.64294306334345</v>
      </c>
      <c r="O72" s="38">
        <f t="shared" ref="O72:O78" si="45">0.65*60*O$10/E72</f>
        <v>7.4498396410163306</v>
      </c>
      <c r="P72" s="33">
        <f t="shared" ref="P72:P78" si="46">($B$20*$B$14+SQRT($B$20^2*$B$14^2+4*$B$20*($R$9-(D72*$B$14))))/(2*$B$20)</f>
        <v>10.388844667225881</v>
      </c>
    </row>
    <row r="73" spans="1:16">
      <c r="A73" s="10"/>
      <c r="B73" s="5"/>
      <c r="D73" s="56">
        <v>13.5</v>
      </c>
      <c r="E73" s="9">
        <f t="shared" si="36"/>
        <v>10.336722551598871</v>
      </c>
      <c r="F73" s="36">
        <f t="shared" si="37"/>
        <v>139.54575444658477</v>
      </c>
      <c r="G73" s="36">
        <f t="shared" si="38"/>
        <v>118.44593352654316</v>
      </c>
      <c r="H73" s="9">
        <f t="shared" si="39"/>
        <v>84.879639653875543</v>
      </c>
      <c r="I73" s="37">
        <f t="shared" si="40"/>
        <v>4579.675294828995</v>
      </c>
      <c r="J73" s="38">
        <f t="shared" si="41"/>
        <v>118.44593352654289</v>
      </c>
      <c r="K73" s="63">
        <f t="shared" ref="K73:K78" si="47">$K$70*0.6*((0.6*3.1416*($B$71*0.0254)^2*J73^2)^(1/3))/9.81*1000</f>
        <v>1235.3862219296411</v>
      </c>
      <c r="L73" s="2">
        <f t="shared" si="42"/>
        <v>8.8529115545576946</v>
      </c>
      <c r="M73" s="38">
        <f t="shared" si="43"/>
        <v>144.67706230136332</v>
      </c>
      <c r="N73" s="38">
        <f t="shared" si="44"/>
        <v>98.680323839046324</v>
      </c>
      <c r="O73" s="38">
        <f t="shared" si="45"/>
        <v>7.5459121216265066</v>
      </c>
      <c r="P73" s="34">
        <f t="shared" si="46"/>
        <v>10.396006093682866</v>
      </c>
    </row>
    <row r="74" spans="1:16">
      <c r="A74" s="4" t="s">
        <v>14</v>
      </c>
      <c r="B74" s="4">
        <v>4600</v>
      </c>
      <c r="D74" s="56">
        <v>12</v>
      </c>
      <c r="E74" s="9">
        <f t="shared" si="36"/>
        <v>8.4203393637213058</v>
      </c>
      <c r="F74" s="36">
        <f t="shared" si="37"/>
        <v>101.04407236465568</v>
      </c>
      <c r="G74" s="36">
        <f t="shared" si="38"/>
        <v>86.348577237573963</v>
      </c>
      <c r="H74" s="36">
        <f t="shared" si="39"/>
        <v>85.456351091979471</v>
      </c>
      <c r="I74" s="37">
        <f t="shared" si="40"/>
        <v>4121.7315001852776</v>
      </c>
      <c r="J74" s="38">
        <f t="shared" si="41"/>
        <v>86.348577237574162</v>
      </c>
      <c r="K74" s="64">
        <f t="shared" si="47"/>
        <v>1000.6743644228418</v>
      </c>
      <c r="L74" s="38">
        <f t="shared" si="42"/>
        <v>9.9033455501628112</v>
      </c>
      <c r="M74" s="38">
        <f t="shared" si="43"/>
        <v>105.4714004667378</v>
      </c>
      <c r="N74" s="38">
        <f t="shared" si="44"/>
        <v>71.939198849196856</v>
      </c>
      <c r="O74" s="38">
        <f t="shared" si="45"/>
        <v>9.2632846053758673</v>
      </c>
      <c r="P74" s="34">
        <f t="shared" si="46"/>
        <v>10.502834481692785</v>
      </c>
    </row>
    <row r="75" spans="1:16">
      <c r="A75" s="4" t="s">
        <v>110</v>
      </c>
      <c r="B75" s="4">
        <v>1.28</v>
      </c>
      <c r="D75" s="56">
        <v>10.8</v>
      </c>
      <c r="E75" s="9">
        <f t="shared" si="36"/>
        <v>7.0044289271382363</v>
      </c>
      <c r="F75" s="36">
        <f t="shared" si="37"/>
        <v>75.647832413092956</v>
      </c>
      <c r="G75" s="36">
        <f t="shared" si="38"/>
        <v>64.904976461290076</v>
      </c>
      <c r="H75" s="9">
        <f t="shared" si="39"/>
        <v>85.798858197100785</v>
      </c>
      <c r="I75" s="37">
        <f t="shared" si="40"/>
        <v>3747.6063621307353</v>
      </c>
      <c r="J75" s="38">
        <f t="shared" si="41"/>
        <v>64.904976461289863</v>
      </c>
      <c r="K75" s="65">
        <f t="shared" si="47"/>
        <v>827.25864530366175</v>
      </c>
      <c r="L75" s="2">
        <f t="shared" si="42"/>
        <v>10.935655641608069</v>
      </c>
      <c r="M75" s="38">
        <f t="shared" si="43"/>
        <v>79.278883145906093</v>
      </c>
      <c r="N75" s="38">
        <f t="shared" si="44"/>
        <v>54.073988910142546</v>
      </c>
      <c r="O75" s="38">
        <f t="shared" si="45"/>
        <v>11.13581147176663</v>
      </c>
      <c r="P75" s="34">
        <f t="shared" si="46"/>
        <v>10.587511859575821</v>
      </c>
    </row>
    <row r="76" spans="1:16">
      <c r="A76" s="5"/>
      <c r="B76" s="5"/>
      <c r="D76" s="56">
        <v>10</v>
      </c>
      <c r="E76" s="9">
        <f t="shared" si="36"/>
        <v>6.121647830173746</v>
      </c>
      <c r="F76" s="36">
        <f t="shared" si="37"/>
        <v>61.21647830173746</v>
      </c>
      <c r="G76" s="36">
        <f t="shared" si="38"/>
        <v>52.605971067885783</v>
      </c>
      <c r="H76" s="9">
        <f t="shared" si="39"/>
        <v>85.934330963290179</v>
      </c>
      <c r="I76" s="37">
        <f t="shared" si="40"/>
        <v>3494.1347488594802</v>
      </c>
      <c r="J76" s="38">
        <f t="shared" si="41"/>
        <v>52.605971067885747</v>
      </c>
      <c r="K76" s="64">
        <f t="shared" si="47"/>
        <v>719.1387283939838</v>
      </c>
      <c r="L76" s="2">
        <f t="shared" si="42"/>
        <v>11.747469771935133</v>
      </c>
      <c r="M76" s="38">
        <f t="shared" si="43"/>
        <v>64.256130430232801</v>
      </c>
      <c r="N76" s="38">
        <f t="shared" si="44"/>
        <v>43.82737428198125</v>
      </c>
      <c r="O76" s="38">
        <f t="shared" si="45"/>
        <v>12.741667303293104</v>
      </c>
      <c r="P76" s="34">
        <f t="shared" si="46"/>
        <v>10.643584743205713</v>
      </c>
    </row>
    <row r="77" spans="1:16">
      <c r="A77" s="5"/>
      <c r="B77" s="5"/>
      <c r="D77" s="56">
        <v>9</v>
      </c>
      <c r="E77" s="9">
        <f t="shared" si="36"/>
        <v>5.090441571486565</v>
      </c>
      <c r="F77" s="36">
        <f t="shared" si="37"/>
        <v>45.813974143379085</v>
      </c>
      <c r="G77" s="36">
        <f t="shared" si="38"/>
        <v>39.375176693405102</v>
      </c>
      <c r="H77" s="36">
        <f t="shared" si="39"/>
        <v>85.945778399788736</v>
      </c>
      <c r="I77" s="37">
        <f t="shared" si="40"/>
        <v>3172.503723810441</v>
      </c>
      <c r="J77" s="38">
        <f t="shared" si="41"/>
        <v>39.375176693405322</v>
      </c>
      <c r="K77" s="64">
        <f t="shared" si="47"/>
        <v>592.84022088246434</v>
      </c>
      <c r="L77" s="38">
        <f t="shared" si="42"/>
        <v>12.940161423829242</v>
      </c>
      <c r="M77" s="38">
        <f t="shared" si="43"/>
        <v>48.095234019346108</v>
      </c>
      <c r="N77" s="38">
        <f t="shared" si="44"/>
        <v>32.804462522592061</v>
      </c>
      <c r="O77" s="38">
        <f t="shared" si="45"/>
        <v>15.322835731364973</v>
      </c>
      <c r="P77" s="34">
        <f t="shared" si="46"/>
        <v>10.71325827203389</v>
      </c>
    </row>
    <row r="78" spans="1:16">
      <c r="A78" s="5"/>
      <c r="B78" s="5"/>
      <c r="D78" s="56">
        <v>8.43</v>
      </c>
      <c r="E78" s="9">
        <f t="shared" si="36"/>
        <v>4.5400500451199228</v>
      </c>
      <c r="F78" s="36">
        <f t="shared" si="37"/>
        <v>38.272621880360951</v>
      </c>
      <c r="G78" s="36">
        <f t="shared" si="38"/>
        <v>32.854024757205664</v>
      </c>
      <c r="H78" s="9">
        <f t="shared" si="39"/>
        <v>85.842106297045291</v>
      </c>
      <c r="I78" s="37">
        <f t="shared" si="40"/>
        <v>2986.6946820085491</v>
      </c>
      <c r="J78" s="38">
        <f t="shared" si="41"/>
        <v>32.854024757205586</v>
      </c>
      <c r="K78" s="66">
        <f t="shared" si="47"/>
        <v>525.43020689011564</v>
      </c>
      <c r="L78" s="2">
        <f t="shared" si="42"/>
        <v>13.72861803229981</v>
      </c>
      <c r="M78" s="38">
        <f t="shared" si="43"/>
        <v>40.129902691708772</v>
      </c>
      <c r="N78" s="38">
        <f t="shared" si="44"/>
        <v>27.371524761806814</v>
      </c>
      <c r="O78" s="38">
        <f t="shared" si="45"/>
        <v>17.18042735758867</v>
      </c>
      <c r="P78" s="34">
        <f t="shared" si="46"/>
        <v>10.752767805584188</v>
      </c>
    </row>
    <row r="79" spans="1:16">
      <c r="A79" s="5"/>
      <c r="B79" s="5"/>
      <c r="D79" s="60">
        <v>7.3</v>
      </c>
      <c r="E79" s="17">
        <f t="shared" si="36"/>
        <v>3.5330619064239763</v>
      </c>
      <c r="F79" s="61">
        <f>D79*E79</f>
        <v>25.791351916895028</v>
      </c>
      <c r="G79" s="61">
        <f>(D79-($B$20+$B$21)*E79)*(E79-$B$14)</f>
        <v>21.994477554031928</v>
      </c>
      <c r="H79" s="17">
        <f>G79/F79*100</f>
        <v>85.278498098519989</v>
      </c>
      <c r="I79" s="62">
        <f>$B$19*(D79-(E79*($B$20+$B$21)))</f>
        <v>2612.7579956040904</v>
      </c>
      <c r="J79" s="38">
        <f>(($B$71*0.0254)^4)*($B$72*0.0254)*(I79^3)*2*$B$75*0.00000018</f>
        <v>21.994477554031857</v>
      </c>
      <c r="K79" s="36">
        <f>$K$70*0.6*((0.6*3.1416*($B$71*0.0254)^2*J79^2)^(1/3))/9.81*1000</f>
        <v>402.09784934506166</v>
      </c>
      <c r="L79" s="2">
        <f>K79/F79</f>
        <v>15.590413819357069</v>
      </c>
      <c r="M79" s="38">
        <f>1.30652287/($B$71*0.0254)*POWER(K79*0.00981,3/2)</f>
        <v>26.865391699222172</v>
      </c>
      <c r="N79" s="38">
        <f>POWER(I79/$B$74,3)*100</f>
        <v>18.324159412497881</v>
      </c>
      <c r="O79" s="38">
        <f>0.65*60*O$10/E79</f>
        <v>22.077167642654889</v>
      </c>
      <c r="P79" s="34">
        <f>($B$20*$B$14+SQRT($B$20^2*$B$14^2+4*$B$20*($R$9-(D79*$B$14))))/(2*$B$20)</f>
        <v>10.830662671469437</v>
      </c>
    </row>
    <row r="80" spans="1:16">
      <c r="A80" s="5"/>
      <c r="B80" s="5"/>
    </row>
    <row r="83" spans="1:16">
      <c r="H83" s="57" t="s">
        <v>344</v>
      </c>
      <c r="I83" s="90"/>
      <c r="J83" s="90"/>
      <c r="K83" s="90"/>
      <c r="L83" s="90"/>
      <c r="M83" s="91"/>
    </row>
    <row r="84" spans="1:16">
      <c r="O84" s="186" t="s">
        <v>407</v>
      </c>
      <c r="P84" s="186"/>
    </row>
    <row r="85" spans="1:16">
      <c r="D85" s="2"/>
      <c r="E85" s="2"/>
      <c r="F85" s="2"/>
      <c r="G85" s="2"/>
      <c r="H85" s="2"/>
      <c r="I85" s="2"/>
      <c r="J85" s="2"/>
      <c r="K85" s="4" t="s">
        <v>111</v>
      </c>
      <c r="L85" s="2"/>
      <c r="M85" s="2"/>
      <c r="N85" s="2"/>
      <c r="O85" s="89">
        <v>1.25</v>
      </c>
      <c r="P85" s="89" t="s">
        <v>394</v>
      </c>
    </row>
    <row r="86" spans="1:16">
      <c r="D86" s="2"/>
      <c r="E86" s="2"/>
      <c r="F86" s="2"/>
      <c r="G86" s="2"/>
      <c r="H86" s="2"/>
      <c r="I86" s="2"/>
      <c r="J86" s="2"/>
      <c r="K86" s="4">
        <v>1.29</v>
      </c>
      <c r="M86" s="2" t="s">
        <v>113</v>
      </c>
      <c r="N86" s="2" t="s">
        <v>113</v>
      </c>
      <c r="O86" s="89" t="s">
        <v>116</v>
      </c>
    </row>
    <row r="87" spans="1:16">
      <c r="A87" s="5" t="s">
        <v>249</v>
      </c>
      <c r="B87" s="5">
        <v>12</v>
      </c>
      <c r="D87" s="11" t="s">
        <v>425</v>
      </c>
      <c r="E87" s="12" t="s">
        <v>426</v>
      </c>
      <c r="F87" s="12" t="s">
        <v>427</v>
      </c>
      <c r="G87" s="12" t="s">
        <v>302</v>
      </c>
      <c r="H87" s="12" t="s">
        <v>48</v>
      </c>
      <c r="I87" s="13" t="s">
        <v>43</v>
      </c>
      <c r="J87" s="2" t="s">
        <v>303</v>
      </c>
      <c r="K87" s="2" t="s">
        <v>428</v>
      </c>
      <c r="L87" s="9" t="s">
        <v>112</v>
      </c>
      <c r="M87" s="9" t="s">
        <v>123</v>
      </c>
      <c r="N87" s="9" t="s">
        <v>252</v>
      </c>
      <c r="O87" s="89" t="s">
        <v>118</v>
      </c>
      <c r="P87" t="s">
        <v>383</v>
      </c>
    </row>
    <row r="88" spans="1:16">
      <c r="A88" s="5" t="s">
        <v>109</v>
      </c>
      <c r="B88" s="5">
        <v>4.5</v>
      </c>
      <c r="D88" s="35">
        <v>22</v>
      </c>
      <c r="E88" s="9">
        <f t="shared" ref="E88:E100" si="48">(0.5+(0.00000036*$B$91*$B$19^3*($B$88*0.0254)*($B$87*0.0254)^4)*($B$20+$B$21)*$D88-(0.25-(0.00000036*$B$91*$B$19^3*($B$88*0.0254)*($B$87*0.0254)^4)*(($B$20+$B$21)^2*$B$14-($B$20+$B$21)*$D88))^(1/2))/((0.00000036*$B$91*$B$19^3*($B$88*0.0254)*($B$87*0.0254)^4)*($B$20+$B$21)^2)</f>
        <v>9.8272879681984655</v>
      </c>
      <c r="F88" s="36">
        <f>D88*E88</f>
        <v>216.20033530036625</v>
      </c>
      <c r="G88" s="36">
        <f>(D88-($B$20+$B$21)*E88)*(E88-$B$14)</f>
        <v>194.70014494133198</v>
      </c>
      <c r="H88" s="9">
        <f>G88/F88*100</f>
        <v>90.055431537992689</v>
      </c>
      <c r="I88" s="37">
        <f>$B$19*(D88-(E88*($B$20+$B$21)))</f>
        <v>7928.450807708442</v>
      </c>
      <c r="J88" s="38">
        <f>(($B$87*0.0254)^4)*($B$88*0.0254)*(I88^3)*2*$B$91*0.00000018</f>
        <v>194.70014494133136</v>
      </c>
      <c r="K88" s="36">
        <f>$K$86*0.6*((0.6*3.1416*($B$87*0.0254)^2*J88^2)^(1/3))/9.81*1000</f>
        <v>1482.8372632362098</v>
      </c>
      <c r="L88" s="2">
        <f>K88/F88</f>
        <v>6.8586261033134379</v>
      </c>
      <c r="M88" s="38">
        <f>1.30652287/($B$87*0.0254)*POWER(K88*0.00981,3/2)</f>
        <v>237.81859082101019</v>
      </c>
      <c r="N88" s="38">
        <f>POWER(I88/$B$90,3)*100</f>
        <v>253.85644327406328</v>
      </c>
      <c r="O88" s="38">
        <f>0.65*60*O$10/E88</f>
        <v>7.9370829726788727</v>
      </c>
      <c r="P88" s="33">
        <f>($B$20*$B$14+SQRT($B$20^2*$B$14^2+4*$B$20*($R$9-(D88*$B$14))))/(2*$B$20)</f>
        <v>9.7683171770128236</v>
      </c>
    </row>
    <row r="89" spans="1:16">
      <c r="A89" s="10"/>
      <c r="B89" s="5"/>
      <c r="D89" s="56">
        <v>21.9</v>
      </c>
      <c r="E89" s="9">
        <f t="shared" si="48"/>
        <v>9.7462235745919994</v>
      </c>
      <c r="F89" s="36">
        <f>D89*E89</f>
        <v>213.44229628356479</v>
      </c>
      <c r="G89" s="36">
        <f>(D89-($B$20+$B$21)*E89)*(E89-$B$14)</f>
        <v>192.23340221127634</v>
      </c>
      <c r="H89" s="9">
        <f>G89/F89*100</f>
        <v>90.063406156335688</v>
      </c>
      <c r="I89" s="37">
        <f>$B$19*(D89-(E89*($B$20+$B$21)))</f>
        <v>7894.8253770045503</v>
      </c>
      <c r="J89" s="38">
        <f t="shared" ref="J89:J100" si="49">(($B$87*0.0254)^4)*($B$88*0.0254)*(I89^3)*2*$B$91*0.00000018</f>
        <v>192.23340221127933</v>
      </c>
      <c r="K89" s="63">
        <f t="shared" ref="K89:K100" si="50">$K$86*0.6*((0.6*3.1416*($B$87*0.0254)^2*J89^2)^(1/3))/9.81*1000</f>
        <v>1470.2861836445556</v>
      </c>
      <c r="L89" s="2">
        <f>K89/F89</f>
        <v>6.888448115696967</v>
      </c>
      <c r="M89" s="38">
        <f t="shared" ref="M89:M100" si="51">1.30652287/($B$87*0.0254)*POWER(K89*0.00981,3/2)</f>
        <v>234.80556132298031</v>
      </c>
      <c r="N89" s="38">
        <f t="shared" ref="N89:N100" si="52">POWER(I89/$B$90,3)*100</f>
        <v>250.64022309039649</v>
      </c>
      <c r="O89" s="38">
        <f>0.65*60*O$10/E89</f>
        <v>8.0030998060974881</v>
      </c>
      <c r="P89" s="34">
        <f>($B$20*$B$14+SQRT($B$20^2*$B$14^2+4*$B$20*($R$9-(D89*$B$14))))/(2*$B$20)</f>
        <v>9.7759390734788063</v>
      </c>
    </row>
    <row r="90" spans="1:16">
      <c r="A90" s="4" t="s">
        <v>14</v>
      </c>
      <c r="B90" s="4">
        <v>5812</v>
      </c>
      <c r="D90" s="56">
        <v>21</v>
      </c>
      <c r="E90" s="9">
        <f t="shared" si="48"/>
        <v>9.0300863447433226</v>
      </c>
      <c r="F90" s="36">
        <f>D90*E90</f>
        <v>189.63181323960978</v>
      </c>
      <c r="G90" s="36">
        <f>(D90-($B$20+$B$21)*E90)*(E90-$B$14)</f>
        <v>170.90337381236299</v>
      </c>
      <c r="H90" s="36">
        <f>G90/F90*100</f>
        <v>90.123788246657526</v>
      </c>
      <c r="I90" s="37">
        <f>$B$19*(D90-(E90*($B$20+$B$21)))</f>
        <v>7591.3052753435177</v>
      </c>
      <c r="J90" s="38">
        <f t="shared" si="49"/>
        <v>170.90337381236301</v>
      </c>
      <c r="K90" s="64">
        <f t="shared" si="50"/>
        <v>1359.4077206040063</v>
      </c>
      <c r="L90" s="38">
        <f>K90/F90</f>
        <v>7.1686691034606254</v>
      </c>
      <c r="M90" s="38">
        <f t="shared" si="51"/>
        <v>208.75176820674528</v>
      </c>
      <c r="N90" s="38">
        <f t="shared" si="52"/>
        <v>222.82943154776419</v>
      </c>
      <c r="O90" s="38">
        <f>0.65*60*O$10/E90</f>
        <v>8.6377911597053636</v>
      </c>
      <c r="P90" s="34">
        <f>($B$20*$B$14+SQRT($B$20^2*$B$14^2+4*$B$20*($R$9-(D90*$B$14))))/(2*$B$20)</f>
        <v>9.8442671746261148</v>
      </c>
    </row>
    <row r="91" spans="1:16">
      <c r="A91" s="4" t="s">
        <v>110</v>
      </c>
      <c r="B91" s="4">
        <v>1.1000000000000001</v>
      </c>
      <c r="D91" s="56">
        <v>20.5</v>
      </c>
      <c r="E91" s="9">
        <f t="shared" si="48"/>
        <v>8.6427804324394728</v>
      </c>
      <c r="F91" s="36">
        <f>D91*E91</f>
        <v>177.17699886500918</v>
      </c>
      <c r="G91" s="36">
        <f>(D91-($B$20+$B$21)*E91)*(E91-$B$14)</f>
        <v>159.7207159208169</v>
      </c>
      <c r="H91" s="9">
        <f>G91/F91*100</f>
        <v>90.147545643048062</v>
      </c>
      <c r="I91" s="37">
        <f>$B$19*(D91-(E91*($B$20+$B$21)))</f>
        <v>7421.9836573292632</v>
      </c>
      <c r="J91" s="38">
        <f t="shared" si="49"/>
        <v>159.72071592081579</v>
      </c>
      <c r="K91" s="64">
        <f t="shared" si="50"/>
        <v>1299.4417217802322</v>
      </c>
      <c r="L91" s="2">
        <f>K91/F91</f>
        <v>7.3341445565983108</v>
      </c>
      <c r="M91" s="38">
        <f t="shared" si="51"/>
        <v>195.09259018095284</v>
      </c>
      <c r="N91" s="38">
        <f t="shared" si="52"/>
        <v>208.24911493036146</v>
      </c>
      <c r="O91" s="38">
        <f>0.65*60*O$10/E91</f>
        <v>9.0248734894661755</v>
      </c>
      <c r="P91" s="34">
        <f>($B$20*$B$14+SQRT($B$20^2*$B$14^2+4*$B$20*($R$9-(D91*$B$14))))/(2*$B$20)</f>
        <v>9.8820204739670263</v>
      </c>
    </row>
    <row r="92" spans="1:16">
      <c r="D92" s="56">
        <v>19</v>
      </c>
      <c r="E92" s="9">
        <f t="shared" si="48"/>
        <v>7.5268565756492096</v>
      </c>
      <c r="F92" s="36">
        <f t="shared" ref="F92:F99" si="53">D92*E92</f>
        <v>143.01027493733497</v>
      </c>
      <c r="G92" s="36">
        <f t="shared" ref="G92:G99" si="54">(D92-($B$20+$B$21)*E92)*(E92-$B$14)</f>
        <v>128.94905945703312</v>
      </c>
      <c r="H92" s="36">
        <f t="shared" ref="H92:H99" si="55">G92/F92*100</f>
        <v>90.167688659809045</v>
      </c>
      <c r="I92" s="37">
        <f t="shared" ref="I92:I99" si="56">$B$19*(D92-(E92*($B$20+$B$21)))</f>
        <v>6910.9694090344565</v>
      </c>
      <c r="J92" s="38">
        <f t="shared" si="49"/>
        <v>128.94905945703292</v>
      </c>
      <c r="K92" s="64">
        <f t="shared" si="50"/>
        <v>1126.6648894162715</v>
      </c>
      <c r="L92" s="38">
        <f t="shared" ref="L92:L99" si="57">K92/F92</f>
        <v>7.878209379780297</v>
      </c>
      <c r="M92" s="38">
        <f t="shared" si="51"/>
        <v>157.50621868826502</v>
      </c>
      <c r="N92" s="38">
        <f t="shared" si="52"/>
        <v>168.12801863687318</v>
      </c>
      <c r="O92" s="38">
        <f t="shared" ref="O92:O99" si="58">0.65*60*O$10/E92</f>
        <v>10.362891761793975</v>
      </c>
      <c r="P92" s="34">
        <f t="shared" ref="P92:P99" si="59">($B$20*$B$14+SQRT($B$20^2*$B$14^2+4*$B$20*($R$9-(D92*$B$14))))/(2*$B$20)</f>
        <v>9.9944139077431</v>
      </c>
    </row>
    <row r="93" spans="1:16">
      <c r="D93" s="56">
        <v>18</v>
      </c>
      <c r="E93" s="9">
        <f t="shared" si="48"/>
        <v>6.8219347778852137</v>
      </c>
      <c r="F93" s="36">
        <f t="shared" si="53"/>
        <v>122.79482600193384</v>
      </c>
      <c r="G93" s="36">
        <f t="shared" si="54"/>
        <v>110.67316323066161</v>
      </c>
      <c r="H93" s="9">
        <f t="shared" si="55"/>
        <v>90.128523191130768</v>
      </c>
      <c r="I93" s="37">
        <f t="shared" si="56"/>
        <v>6567.7057242262108</v>
      </c>
      <c r="J93" s="38">
        <f t="shared" si="49"/>
        <v>110.67316323066031</v>
      </c>
      <c r="K93" s="64">
        <f t="shared" si="50"/>
        <v>1017.5228950580674</v>
      </c>
      <c r="L93" s="2">
        <f t="shared" si="57"/>
        <v>8.286366194631384</v>
      </c>
      <c r="M93" s="38">
        <f t="shared" si="51"/>
        <v>135.18292823639288</v>
      </c>
      <c r="N93" s="38">
        <f t="shared" si="52"/>
        <v>144.29930492394399</v>
      </c>
      <c r="O93" s="38">
        <f t="shared" si="58"/>
        <v>11.433706498170281</v>
      </c>
      <c r="P93" s="34">
        <f t="shared" si="59"/>
        <v>10.068637117154218</v>
      </c>
    </row>
    <row r="94" spans="1:16">
      <c r="D94" s="56">
        <v>17</v>
      </c>
      <c r="E94" s="9">
        <f t="shared" si="48"/>
        <v>6.1489076176080824</v>
      </c>
      <c r="F94" s="36">
        <f t="shared" si="53"/>
        <v>104.53142949933741</v>
      </c>
      <c r="G94" s="36">
        <f t="shared" si="54"/>
        <v>94.11521704180636</v>
      </c>
      <c r="H94" s="36">
        <f t="shared" si="55"/>
        <v>90.035329558372609</v>
      </c>
      <c r="I94" s="37">
        <f t="shared" si="56"/>
        <v>6222.3274249525839</v>
      </c>
      <c r="J94" s="38">
        <f t="shared" si="49"/>
        <v>94.115217041804556</v>
      </c>
      <c r="K94" s="64">
        <f t="shared" si="50"/>
        <v>913.31910002309746</v>
      </c>
      <c r="L94" s="38">
        <f t="shared" si="57"/>
        <v>8.737267866683931</v>
      </c>
      <c r="M94" s="38">
        <f t="shared" si="51"/>
        <v>114.9580463765958</v>
      </c>
      <c r="N94" s="38">
        <f t="shared" si="52"/>
        <v>122.71051089046836</v>
      </c>
      <c r="O94" s="38">
        <f t="shared" si="58"/>
        <v>12.685180010940204</v>
      </c>
      <c r="P94" s="34">
        <f t="shared" si="59"/>
        <v>10.142310385175312</v>
      </c>
    </row>
    <row r="95" spans="1:16">
      <c r="D95" s="56">
        <v>16.149999999999999</v>
      </c>
      <c r="E95" s="9">
        <f t="shared" si="48"/>
        <v>5.6023569458695786</v>
      </c>
      <c r="F95" s="36">
        <f t="shared" si="53"/>
        <v>90.478064675793689</v>
      </c>
      <c r="G95" s="36">
        <f t="shared" si="54"/>
        <v>81.34297627667452</v>
      </c>
      <c r="H95" s="9">
        <f t="shared" si="55"/>
        <v>89.903532495027889</v>
      </c>
      <c r="I95" s="37">
        <f t="shared" si="56"/>
        <v>5927.0637344888464</v>
      </c>
      <c r="J95" s="38">
        <f t="shared" si="49"/>
        <v>81.342976276672744</v>
      </c>
      <c r="K95" s="65">
        <f t="shared" si="50"/>
        <v>828.69747175090367</v>
      </c>
      <c r="L95" s="2">
        <f t="shared" si="57"/>
        <v>9.1590981164367413</v>
      </c>
      <c r="M95" s="38">
        <f t="shared" si="51"/>
        <v>99.357255214855215</v>
      </c>
      <c r="N95" s="38">
        <f t="shared" si="52"/>
        <v>106.05764391775314</v>
      </c>
      <c r="O95" s="38">
        <f t="shared" si="58"/>
        <v>13.922711593288726</v>
      </c>
      <c r="P95" s="34">
        <f t="shared" si="59"/>
        <v>10.204509281355969</v>
      </c>
    </row>
    <row r="96" spans="1:16">
      <c r="D96" s="56">
        <v>16</v>
      </c>
      <c r="E96" s="9">
        <f t="shared" si="48"/>
        <v>5.5083719029521108</v>
      </c>
      <c r="F96" s="36">
        <f t="shared" si="53"/>
        <v>88.133950447233772</v>
      </c>
      <c r="G96" s="36">
        <f t="shared" si="54"/>
        <v>79.209888879499758</v>
      </c>
      <c r="H96" s="36">
        <f t="shared" si="55"/>
        <v>89.874433719980701</v>
      </c>
      <c r="I96" s="37">
        <f t="shared" si="56"/>
        <v>5874.7949428342754</v>
      </c>
      <c r="J96" s="38">
        <f t="shared" si="49"/>
        <v>79.209888879499658</v>
      </c>
      <c r="K96" s="64">
        <f t="shared" si="50"/>
        <v>814.14590722789114</v>
      </c>
      <c r="L96" s="38">
        <f t="shared" si="57"/>
        <v>9.2375968976373564</v>
      </c>
      <c r="M96" s="38">
        <f t="shared" si="51"/>
        <v>96.751772619828884</v>
      </c>
      <c r="N96" s="38">
        <f t="shared" si="52"/>
        <v>103.27645451492936</v>
      </c>
      <c r="O96" s="38">
        <f t="shared" si="58"/>
        <v>14.160263935373958</v>
      </c>
      <c r="P96" s="34">
        <f t="shared" si="59"/>
        <v>10.215445757657848</v>
      </c>
    </row>
    <row r="97" spans="4:16">
      <c r="D97" s="56">
        <v>15</v>
      </c>
      <c r="E97" s="9">
        <f t="shared" si="48"/>
        <v>4.9009432898631147</v>
      </c>
      <c r="F97" s="36">
        <f t="shared" si="53"/>
        <v>73.514149347946727</v>
      </c>
      <c r="G97" s="36">
        <f t="shared" si="54"/>
        <v>65.889167765588681</v>
      </c>
      <c r="H97" s="9">
        <f t="shared" si="55"/>
        <v>89.627872117150446</v>
      </c>
      <c r="I97" s="37">
        <f t="shared" si="56"/>
        <v>5525.067459882076</v>
      </c>
      <c r="J97" s="38">
        <f t="shared" si="49"/>
        <v>65.889167765589477</v>
      </c>
      <c r="K97" s="64">
        <f t="shared" si="50"/>
        <v>720.09863776757948</v>
      </c>
      <c r="L97" s="2">
        <f t="shared" si="57"/>
        <v>9.7953746884740642</v>
      </c>
      <c r="M97" s="38">
        <f t="shared" si="51"/>
        <v>80.481034223694792</v>
      </c>
      <c r="N97" s="38">
        <f t="shared" si="52"/>
        <v>85.908460850405291</v>
      </c>
      <c r="O97" s="38">
        <f t="shared" si="58"/>
        <v>15.915303521534641</v>
      </c>
      <c r="P97" s="34">
        <f t="shared" si="59"/>
        <v>10.288054847019639</v>
      </c>
    </row>
    <row r="98" spans="4:16">
      <c r="D98" s="56">
        <v>14</v>
      </c>
      <c r="E98" s="9">
        <f t="shared" si="48"/>
        <v>4.3272571261033219</v>
      </c>
      <c r="F98" s="36">
        <f t="shared" si="53"/>
        <v>60.581599765446505</v>
      </c>
      <c r="G98" s="36">
        <f t="shared" si="54"/>
        <v>54.082231973285857</v>
      </c>
      <c r="H98" s="36">
        <f t="shared" si="55"/>
        <v>89.271713164848379</v>
      </c>
      <c r="I98" s="37">
        <f t="shared" si="56"/>
        <v>5173.1028525393494</v>
      </c>
      <c r="J98" s="38">
        <f t="shared" si="49"/>
        <v>54.082231973286405</v>
      </c>
      <c r="K98" s="64">
        <f t="shared" si="50"/>
        <v>631.27566159198739</v>
      </c>
      <c r="L98" s="38">
        <f t="shared" si="57"/>
        <v>10.42025407113867</v>
      </c>
      <c r="M98" s="38">
        <f t="shared" si="51"/>
        <v>66.059325226581464</v>
      </c>
      <c r="N98" s="38">
        <f t="shared" si="52"/>
        <v>70.514190203598886</v>
      </c>
      <c r="O98" s="38">
        <f t="shared" si="58"/>
        <v>18.025275070778772</v>
      </c>
      <c r="P98" s="34">
        <f t="shared" si="59"/>
        <v>10.360148853769715</v>
      </c>
    </row>
    <row r="99" spans="4:16">
      <c r="D99" s="56">
        <v>12.7</v>
      </c>
      <c r="E99" s="9">
        <f t="shared" si="48"/>
        <v>3.6329913950278123</v>
      </c>
      <c r="F99" s="36">
        <f t="shared" si="53"/>
        <v>46.138990716853215</v>
      </c>
      <c r="G99" s="36">
        <f t="shared" si="54"/>
        <v>40.874626350163055</v>
      </c>
      <c r="H99" s="9">
        <f t="shared" si="55"/>
        <v>88.590204759794972</v>
      </c>
      <c r="I99" s="37">
        <f t="shared" si="56"/>
        <v>4712.1326705096553</v>
      </c>
      <c r="J99" s="38">
        <f t="shared" si="49"/>
        <v>40.874626350163993</v>
      </c>
      <c r="K99" s="66">
        <f t="shared" si="50"/>
        <v>523.78353020311613</v>
      </c>
      <c r="L99" s="2">
        <f t="shared" si="57"/>
        <v>11.352297093308403</v>
      </c>
      <c r="M99" s="38">
        <f t="shared" si="51"/>
        <v>49.92675296600558</v>
      </c>
      <c r="N99" s="38">
        <f t="shared" si="52"/>
        <v>53.293680230878117</v>
      </c>
      <c r="O99" s="38">
        <f t="shared" si="58"/>
        <v>21.469910472882603</v>
      </c>
      <c r="P99" s="34">
        <f t="shared" si="59"/>
        <v>10.453118742767526</v>
      </c>
    </row>
    <row r="100" spans="4:16">
      <c r="D100" s="60">
        <v>11.1</v>
      </c>
      <c r="E100" s="17">
        <f t="shared" si="48"/>
        <v>2.860534580555631</v>
      </c>
      <c r="F100" s="61">
        <f>D100*E100</f>
        <v>31.751933844167503</v>
      </c>
      <c r="G100" s="61">
        <f>(D100-($B$20+$B$21)*E100)*(E100-$B$14)</f>
        <v>27.707454689126838</v>
      </c>
      <c r="H100" s="61">
        <f>G100/F100*100</f>
        <v>87.262258812675142</v>
      </c>
      <c r="I100" s="62">
        <f>$B$19*(D100-(E100*($B$20+$B$21)))</f>
        <v>4139.3465573091617</v>
      </c>
      <c r="J100" s="38">
        <f t="shared" si="49"/>
        <v>27.707454689126571</v>
      </c>
      <c r="K100" s="36">
        <f t="shared" si="50"/>
        <v>404.18518957227599</v>
      </c>
      <c r="L100" s="38">
        <f>K100/F100</f>
        <v>12.729466858804273</v>
      </c>
      <c r="M100" s="38">
        <f t="shared" si="51"/>
        <v>33.843569204278857</v>
      </c>
      <c r="N100" s="38">
        <f t="shared" si="52"/>
        <v>36.125889385847124</v>
      </c>
      <c r="O100" s="38">
        <f>0.65*60*O$10/E100</f>
        <v>27.267630508717449</v>
      </c>
      <c r="P100" s="34">
        <f>($B$20*$B$14+SQRT($B$20^2*$B$14^2+4*$B$20*($R$9-(D100*$B$14))))/(2*$B$20)</f>
        <v>10.566406894723357</v>
      </c>
    </row>
  </sheetData>
  <mergeCells count="5">
    <mergeCell ref="O9:P9"/>
    <mergeCell ref="O31:P31"/>
    <mergeCell ref="O50:P50"/>
    <mergeCell ref="O68:P68"/>
    <mergeCell ref="O84:P84"/>
  </mergeCells>
  <phoneticPr fontId="1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R102"/>
  <sheetViews>
    <sheetView topLeftCell="A137" workbookViewId="0">
      <selection activeCell="Q200" sqref="Q200"/>
    </sheetView>
  </sheetViews>
  <sheetFormatPr baseColWidth="10" defaultRowHeight="15"/>
  <sheetData>
    <row r="1" spans="1:18">
      <c r="A1" s="78"/>
    </row>
    <row r="7" spans="1:18" ht="16">
      <c r="F7" t="s">
        <v>292</v>
      </c>
      <c r="H7" s="82" t="s">
        <v>98</v>
      </c>
      <c r="I7" s="83"/>
      <c r="J7" s="83"/>
      <c r="K7" s="83"/>
      <c r="L7" s="83"/>
      <c r="M7" s="83"/>
      <c r="N7" s="84"/>
    </row>
    <row r="8" spans="1:18" ht="17">
      <c r="F8" t="s">
        <v>60</v>
      </c>
      <c r="H8" s="85" t="s">
        <v>285</v>
      </c>
      <c r="I8" s="86"/>
      <c r="J8" s="86"/>
      <c r="K8" s="86"/>
      <c r="L8" s="86"/>
      <c r="M8" s="86"/>
      <c r="N8" s="87"/>
      <c r="R8" s="7" t="s">
        <v>286</v>
      </c>
    </row>
    <row r="9" spans="1:18">
      <c r="O9" s="186" t="s">
        <v>135</v>
      </c>
      <c r="P9" s="186"/>
      <c r="R9" s="7">
        <f>($B$20*$B$17^2+$B$14*(($B$18/$B$17)-$B$17*$B$20))/2</f>
        <v>35.53830769230769</v>
      </c>
    </row>
    <row r="10" spans="1:18" ht="16">
      <c r="D10" s="2"/>
      <c r="E10" s="2"/>
      <c r="F10" s="2"/>
      <c r="G10" s="2"/>
      <c r="H10" s="2"/>
      <c r="I10" s="2"/>
      <c r="J10" s="2"/>
      <c r="K10" s="4" t="s">
        <v>287</v>
      </c>
      <c r="L10" s="2"/>
      <c r="M10" s="2"/>
      <c r="N10" s="2"/>
      <c r="O10" s="89">
        <v>2</v>
      </c>
      <c r="P10" s="89" t="s">
        <v>394</v>
      </c>
      <c r="R10" t="s">
        <v>33</v>
      </c>
    </row>
    <row r="11" spans="1:18" ht="16">
      <c r="D11" s="2"/>
      <c r="E11" s="2"/>
      <c r="F11" s="2"/>
      <c r="G11" s="2"/>
      <c r="H11" s="2"/>
      <c r="I11" s="2"/>
      <c r="J11" s="2"/>
      <c r="K11" s="4">
        <v>1.34</v>
      </c>
      <c r="M11" s="2" t="s">
        <v>113</v>
      </c>
      <c r="N11" s="2" t="s">
        <v>113</v>
      </c>
      <c r="O11" s="89" t="s">
        <v>116</v>
      </c>
      <c r="R11" s="93" t="s">
        <v>22</v>
      </c>
    </row>
    <row r="12" spans="1:18">
      <c r="A12" s="5" t="s">
        <v>261</v>
      </c>
      <c r="B12" s="5">
        <v>13</v>
      </c>
      <c r="D12" s="11" t="s">
        <v>425</v>
      </c>
      <c r="E12" s="12" t="s">
        <v>426</v>
      </c>
      <c r="F12" s="12" t="s">
        <v>262</v>
      </c>
      <c r="G12" s="12" t="s">
        <v>127</v>
      </c>
      <c r="H12" s="12" t="s">
        <v>128</v>
      </c>
      <c r="I12" s="13" t="s">
        <v>129</v>
      </c>
      <c r="J12" s="2" t="s">
        <v>24</v>
      </c>
      <c r="K12" s="2" t="s">
        <v>25</v>
      </c>
      <c r="L12" s="9" t="s">
        <v>26</v>
      </c>
      <c r="M12" s="9" t="s">
        <v>133</v>
      </c>
      <c r="N12" s="9" t="s">
        <v>268</v>
      </c>
      <c r="O12" s="89" t="s">
        <v>118</v>
      </c>
      <c r="P12" t="s">
        <v>269</v>
      </c>
    </row>
    <row r="13" spans="1:18">
      <c r="A13" s="5" t="s">
        <v>109</v>
      </c>
      <c r="B13" s="5">
        <v>4</v>
      </c>
      <c r="D13" s="35">
        <v>18.399999999999999</v>
      </c>
      <c r="E13" s="9">
        <f t="shared" ref="E13:E23" si="0">(0.5+(0.00000036*$B$16*$B$19^3*($B$13*0.0254)*($B$12*0.0254)^4)*($B$20+$B$21)*$D13-(0.25-(0.00000036*$B$16*$B$19^3*($B$13*0.0254)*($B$12*0.0254)^4)*(($B$20+$B$21)^2*$B$14-($B$20+$B$21)*$D13))^(1/2))/((0.00000036*$B$16*$B$19^3*($B$13*0.0254)*($B$12*0.0254)^4)*($B$20+$B$21)^2)</f>
        <v>16.171099639256067</v>
      </c>
      <c r="F13" s="36">
        <f t="shared" ref="F13:F23" si="1">D13*E13</f>
        <v>297.54823336231158</v>
      </c>
      <c r="G13" s="36">
        <f t="shared" ref="G13:G23" si="2">(D13-($B$20+$B$21)*E13)*(E13-$B$14)</f>
        <v>261.69998873664747</v>
      </c>
      <c r="H13" s="9">
        <f t="shared" ref="H13:H23" si="3">G13/F13*100</f>
        <v>87.952123183331679</v>
      </c>
      <c r="I13" s="37">
        <f t="shared" ref="I13:I23" si="4">$B$19*(D13-(E13*($B$20+$B$21)))</f>
        <v>8257.3464173716693</v>
      </c>
      <c r="J13" s="38">
        <f t="shared" ref="J13:J23" si="5">(($B$12*0.0254)^4)*($B$13*0.0254)*(I13^3)*2*$B$16*0.00000018</f>
        <v>261.69998873664491</v>
      </c>
      <c r="K13" s="36">
        <f t="shared" ref="K13:K23" si="6">$K$11*0.6*((0.6*3.1416*($B$12*0.0254)^2*J13^2)^(1/3))/9.81*1000</f>
        <v>1978.8290142105279</v>
      </c>
      <c r="L13" s="2">
        <f t="shared" ref="L13:L23" si="7">K13/F13</f>
        <v>6.6504478680637762</v>
      </c>
      <c r="M13" s="38">
        <f t="shared" ref="M13:M23" si="8">1.30652287/($B$12*0.0254)*POWER(K13*0.00981,3/2)</f>
        <v>338.41987648302018</v>
      </c>
      <c r="N13" s="38">
        <f t="shared" ref="N13:N23" si="9">POWER(I13/$B$15,3)*100</f>
        <v>304.01635469337702</v>
      </c>
      <c r="O13" s="38">
        <f t="shared" ref="O13:O23" si="10">0.65*60*O$10/E13</f>
        <v>4.8234196647117002</v>
      </c>
      <c r="P13" s="33">
        <f t="shared" ref="P13:P23" si="11">($B$20*$B$14+SQRT($B$20^2*$B$14^2+4*$B$20*($R$9-(D13*$B$14))))/(2*$B$20)</f>
        <v>16.055071605340096</v>
      </c>
    </row>
    <row r="14" spans="1:18">
      <c r="A14" s="94" t="s">
        <v>63</v>
      </c>
      <c r="B14" s="5">
        <v>0.8</v>
      </c>
      <c r="D14" s="56">
        <v>18.3</v>
      </c>
      <c r="E14" s="9">
        <f t="shared" si="0"/>
        <v>16.014905276894591</v>
      </c>
      <c r="F14" s="36">
        <f t="shared" si="1"/>
        <v>293.07276656717102</v>
      </c>
      <c r="G14" s="36">
        <f t="shared" si="2"/>
        <v>257.72121888862779</v>
      </c>
      <c r="H14" s="36">
        <f t="shared" si="3"/>
        <v>87.937621058202012</v>
      </c>
      <c r="I14" s="37">
        <f t="shared" si="4"/>
        <v>8215.2855299600196</v>
      </c>
      <c r="J14" s="38">
        <f t="shared" si="5"/>
        <v>257.72121888862551</v>
      </c>
      <c r="K14" s="121">
        <f t="shared" si="6"/>
        <v>1958.7210230224666</v>
      </c>
      <c r="L14" s="38">
        <f t="shared" si="7"/>
        <v>6.6833948645772114</v>
      </c>
      <c r="M14" s="38">
        <f t="shared" si="8"/>
        <v>333.27469169710821</v>
      </c>
      <c r="N14" s="38">
        <f t="shared" si="9"/>
        <v>299.39422570056291</v>
      </c>
      <c r="O14" s="38">
        <f t="shared" si="10"/>
        <v>4.8704627752331469</v>
      </c>
      <c r="P14" s="34">
        <f t="shared" si="11"/>
        <v>16.085102595740775</v>
      </c>
    </row>
    <row r="15" spans="1:18">
      <c r="A15" s="4" t="s">
        <v>270</v>
      </c>
      <c r="B15" s="4">
        <v>5700</v>
      </c>
      <c r="D15" s="56">
        <v>15.81</v>
      </c>
      <c r="E15" s="9">
        <f t="shared" si="0"/>
        <v>12.35264907886158</v>
      </c>
      <c r="F15" s="36">
        <f t="shared" si="1"/>
        <v>195.29538193680159</v>
      </c>
      <c r="G15" s="36">
        <f t="shared" si="2"/>
        <v>170.51738723659668</v>
      </c>
      <c r="H15" s="9">
        <f t="shared" si="3"/>
        <v>87.312554728906406</v>
      </c>
      <c r="I15" s="37">
        <f t="shared" si="4"/>
        <v>7158.6120417239317</v>
      </c>
      <c r="J15" s="38">
        <f t="shared" si="5"/>
        <v>170.51738723659605</v>
      </c>
      <c r="K15" s="65">
        <f t="shared" si="6"/>
        <v>1487.253204049257</v>
      </c>
      <c r="L15" s="2">
        <f t="shared" si="7"/>
        <v>7.6154038528701022</v>
      </c>
      <c r="M15" s="38">
        <f t="shared" si="8"/>
        <v>220.5062117327318</v>
      </c>
      <c r="N15" s="38">
        <f t="shared" si="9"/>
        <v>198.08970848553162</v>
      </c>
      <c r="O15" s="38">
        <f t="shared" si="10"/>
        <v>6.3144350253968744</v>
      </c>
      <c r="P15" s="34">
        <f t="shared" si="11"/>
        <v>16.815167911311811</v>
      </c>
    </row>
    <row r="16" spans="1:18">
      <c r="A16" s="4" t="s">
        <v>271</v>
      </c>
      <c r="B16" s="4">
        <v>1.069</v>
      </c>
      <c r="D16" s="56">
        <v>15.5</v>
      </c>
      <c r="E16" s="9">
        <f t="shared" si="0"/>
        <v>11.927874114406778</v>
      </c>
      <c r="F16" s="36">
        <f t="shared" si="1"/>
        <v>184.88204877330506</v>
      </c>
      <c r="G16" s="36">
        <f t="shared" si="2"/>
        <v>161.19983883750822</v>
      </c>
      <c r="H16" s="36">
        <f t="shared" si="3"/>
        <v>87.190638521733916</v>
      </c>
      <c r="I16" s="37">
        <f t="shared" si="4"/>
        <v>7025.7733896335812</v>
      </c>
      <c r="J16" s="38">
        <f t="shared" si="5"/>
        <v>161.19983883750743</v>
      </c>
      <c r="K16" s="64">
        <f t="shared" si="6"/>
        <v>1432.5689560838903</v>
      </c>
      <c r="L16" s="38">
        <f t="shared" si="7"/>
        <v>7.7485562583766514</v>
      </c>
      <c r="M16" s="38">
        <f t="shared" si="8"/>
        <v>208.45713372716372</v>
      </c>
      <c r="N16" s="38">
        <f t="shared" si="9"/>
        <v>187.26553110346595</v>
      </c>
      <c r="O16" s="38">
        <f t="shared" si="10"/>
        <v>6.5393044269128975</v>
      </c>
      <c r="P16" s="34">
        <f t="shared" si="11"/>
        <v>16.903799096431843</v>
      </c>
    </row>
    <row r="17" spans="1:16">
      <c r="A17" s="5" t="s">
        <v>137</v>
      </c>
      <c r="B17" s="5">
        <v>26</v>
      </c>
      <c r="D17" s="56">
        <v>15</v>
      </c>
      <c r="E17" s="9">
        <f t="shared" si="0"/>
        <v>11.257634273759377</v>
      </c>
      <c r="F17" s="36">
        <f t="shared" si="1"/>
        <v>168.86451410639066</v>
      </c>
      <c r="G17" s="36">
        <f t="shared" si="2"/>
        <v>146.85761523445993</v>
      </c>
      <c r="H17" s="9">
        <f t="shared" si="3"/>
        <v>86.96771847632499</v>
      </c>
      <c r="I17" s="37">
        <f t="shared" si="4"/>
        <v>6810.904027064269</v>
      </c>
      <c r="J17" s="38">
        <f t="shared" si="5"/>
        <v>146.85761523446237</v>
      </c>
      <c r="K17" s="64">
        <f t="shared" si="6"/>
        <v>1346.2843001855388</v>
      </c>
      <c r="L17" s="2">
        <f t="shared" si="7"/>
        <v>7.9725708347304494</v>
      </c>
      <c r="M17" s="38">
        <f t="shared" si="8"/>
        <v>189.91034828913016</v>
      </c>
      <c r="N17" s="38">
        <f t="shared" si="9"/>
        <v>170.60419856369688</v>
      </c>
      <c r="O17" s="38">
        <f t="shared" si="10"/>
        <v>6.9286315493310706</v>
      </c>
      <c r="P17" s="34">
        <f t="shared" si="11"/>
        <v>17.045758227498251</v>
      </c>
    </row>
    <row r="18" spans="1:16" ht="17">
      <c r="A18" s="5" t="s">
        <v>138</v>
      </c>
      <c r="B18" s="5">
        <v>500</v>
      </c>
      <c r="D18" s="56">
        <v>14</v>
      </c>
      <c r="E18" s="9">
        <f t="shared" si="0"/>
        <v>9.972982903490383</v>
      </c>
      <c r="F18" s="36">
        <f t="shared" si="1"/>
        <v>139.62176064886535</v>
      </c>
      <c r="G18" s="36">
        <f t="shared" si="2"/>
        <v>120.64579050687124</v>
      </c>
      <c r="H18" s="36">
        <f t="shared" si="3"/>
        <v>86.409016722173575</v>
      </c>
      <c r="I18" s="37">
        <f t="shared" si="4"/>
        <v>6378.8637798036098</v>
      </c>
      <c r="J18" s="38">
        <f t="shared" si="5"/>
        <v>120.645790506872</v>
      </c>
      <c r="K18" s="64">
        <f t="shared" si="6"/>
        <v>1180.902156793429</v>
      </c>
      <c r="L18" s="38">
        <f t="shared" si="7"/>
        <v>8.4578661041474668</v>
      </c>
      <c r="M18" s="38">
        <f t="shared" si="8"/>
        <v>156.01427313250323</v>
      </c>
      <c r="N18" s="38">
        <f t="shared" si="9"/>
        <v>140.15397408331697</v>
      </c>
      <c r="O18" s="38">
        <f t="shared" si="10"/>
        <v>7.8211304235467267</v>
      </c>
      <c r="P18" s="34">
        <f t="shared" si="11"/>
        <v>17.326105035542231</v>
      </c>
    </row>
    <row r="19" spans="1:16">
      <c r="A19" s="5" t="s">
        <v>139</v>
      </c>
      <c r="B19" s="5">
        <v>485</v>
      </c>
      <c r="D19" s="56">
        <v>13</v>
      </c>
      <c r="E19" s="9">
        <f t="shared" si="0"/>
        <v>8.7641162196150724</v>
      </c>
      <c r="F19" s="36">
        <f t="shared" si="1"/>
        <v>113.93351085499594</v>
      </c>
      <c r="G19" s="36">
        <f t="shared" si="2"/>
        <v>97.600643443501568</v>
      </c>
      <c r="H19" s="9">
        <f t="shared" si="3"/>
        <v>85.66456234963097</v>
      </c>
      <c r="I19" s="37">
        <f t="shared" si="4"/>
        <v>5943.6993088463687</v>
      </c>
      <c r="J19" s="38">
        <f t="shared" si="5"/>
        <v>97.60064344350117</v>
      </c>
      <c r="K19" s="64">
        <f t="shared" si="6"/>
        <v>1025.2763053900676</v>
      </c>
      <c r="L19" s="2">
        <f t="shared" si="7"/>
        <v>8.9989003033088721</v>
      </c>
      <c r="M19" s="38">
        <f t="shared" si="8"/>
        <v>126.21321788459016</v>
      </c>
      <c r="N19" s="38">
        <f t="shared" si="9"/>
        <v>113.38247272635968</v>
      </c>
      <c r="O19" s="38">
        <f t="shared" si="10"/>
        <v>8.8999276191051955</v>
      </c>
      <c r="P19" s="34">
        <f t="shared" si="11"/>
        <v>17.601883512571828</v>
      </c>
    </row>
    <row r="20" spans="1:16">
      <c r="A20" s="5" t="s">
        <v>140</v>
      </c>
      <c r="B20" s="8">
        <v>8.5000000000000006E-2</v>
      </c>
      <c r="D20" s="56">
        <v>12.23</v>
      </c>
      <c r="E20" s="9">
        <f t="shared" si="0"/>
        <v>7.8859797961963638</v>
      </c>
      <c r="F20" s="36">
        <f t="shared" si="1"/>
        <v>96.445532907481535</v>
      </c>
      <c r="G20" s="36">
        <f t="shared" si="2"/>
        <v>81.911741959211412</v>
      </c>
      <c r="H20" s="36">
        <f t="shared" si="3"/>
        <v>84.930571162676742</v>
      </c>
      <c r="I20" s="37">
        <f t="shared" si="4"/>
        <v>5606.4504829018051</v>
      </c>
      <c r="J20" s="38">
        <f t="shared" si="5"/>
        <v>81.911741959212335</v>
      </c>
      <c r="K20" s="65">
        <f t="shared" si="6"/>
        <v>912.22767036216385</v>
      </c>
      <c r="L20" s="38">
        <f t="shared" si="7"/>
        <v>9.4584750880815545</v>
      </c>
      <c r="M20" s="38">
        <f t="shared" si="8"/>
        <v>105.92496289421518</v>
      </c>
      <c r="N20" s="38">
        <f t="shared" si="9"/>
        <v>95.156707179243597</v>
      </c>
      <c r="O20" s="38">
        <f t="shared" si="10"/>
        <v>9.8909713207256313</v>
      </c>
      <c r="P20" s="34">
        <f t="shared" si="11"/>
        <v>17.811256565900688</v>
      </c>
    </row>
    <row r="21" spans="1:16">
      <c r="A21" s="5" t="s">
        <v>250</v>
      </c>
      <c r="B21" s="5">
        <v>0</v>
      </c>
      <c r="D21" s="56">
        <v>11</v>
      </c>
      <c r="E21" s="9">
        <f t="shared" si="0"/>
        <v>6.5804719999693653</v>
      </c>
      <c r="F21" s="36">
        <f t="shared" si="1"/>
        <v>72.385191999663022</v>
      </c>
      <c r="G21" s="36">
        <f t="shared" si="2"/>
        <v>60.35194209755857</v>
      </c>
      <c r="H21" s="9">
        <f t="shared" si="3"/>
        <v>83.376088990465803</v>
      </c>
      <c r="I21" s="37">
        <f t="shared" si="4"/>
        <v>5063.7200418012635</v>
      </c>
      <c r="J21" s="38">
        <f t="shared" si="5"/>
        <v>60.351942097557526</v>
      </c>
      <c r="K21" s="64">
        <f t="shared" si="6"/>
        <v>744.16053358720251</v>
      </c>
      <c r="L21" s="2">
        <f t="shared" si="7"/>
        <v>10.280563096256854</v>
      </c>
      <c r="M21" s="38">
        <f t="shared" si="8"/>
        <v>78.044698774210758</v>
      </c>
      <c r="N21" s="38">
        <f t="shared" si="9"/>
        <v>70.110730702511475</v>
      </c>
      <c r="O21" s="38">
        <f t="shared" si="10"/>
        <v>11.853253079773475</v>
      </c>
      <c r="P21" s="34">
        <f t="shared" si="11"/>
        <v>18.140584144606265</v>
      </c>
    </row>
    <row r="22" spans="1:16">
      <c r="D22" s="56">
        <v>10.5</v>
      </c>
      <c r="E22" s="9">
        <f t="shared" si="0"/>
        <v>6.0846090288505925</v>
      </c>
      <c r="F22" s="36">
        <f t="shared" si="1"/>
        <v>63.888394802931224</v>
      </c>
      <c r="G22" s="36">
        <f t="shared" si="2"/>
        <v>52.755238519005594</v>
      </c>
      <c r="H22" s="36">
        <f t="shared" si="3"/>
        <v>82.574055400410785</v>
      </c>
      <c r="I22" s="37">
        <f t="shared" si="4"/>
        <v>4841.6619927856336</v>
      </c>
      <c r="J22" s="38">
        <f t="shared" si="5"/>
        <v>52.755238519007641</v>
      </c>
      <c r="K22" s="64">
        <f t="shared" si="6"/>
        <v>680.32463001814847</v>
      </c>
      <c r="L22" s="38">
        <f t="shared" si="7"/>
        <v>10.648641777848125</v>
      </c>
      <c r="M22" s="38">
        <f t="shared" si="8"/>
        <v>68.220947924461569</v>
      </c>
      <c r="N22" s="38">
        <f t="shared" si="9"/>
        <v>61.285655314522081</v>
      </c>
      <c r="O22" s="38">
        <f t="shared" si="10"/>
        <v>12.819229572542399</v>
      </c>
      <c r="P22" s="34">
        <f t="shared" si="11"/>
        <v>18.272722460352714</v>
      </c>
    </row>
    <row r="23" spans="1:16">
      <c r="D23" s="56">
        <v>9.9450000000000003</v>
      </c>
      <c r="E23" s="9">
        <f t="shared" si="0"/>
        <v>5.5581878924783412</v>
      </c>
      <c r="F23" s="36">
        <f t="shared" si="1"/>
        <v>55.276178590697107</v>
      </c>
      <c r="G23" s="36">
        <f t="shared" si="2"/>
        <v>45.072191892297738</v>
      </c>
      <c r="H23" s="9">
        <f t="shared" si="3"/>
        <v>81.539992527419969</v>
      </c>
      <c r="I23" s="37">
        <f t="shared" si="4"/>
        <v>4594.1887041325799</v>
      </c>
      <c r="J23" s="38">
        <f t="shared" si="5"/>
        <v>45.072191892299784</v>
      </c>
      <c r="K23" s="66">
        <f t="shared" si="6"/>
        <v>612.55476040604253</v>
      </c>
      <c r="L23" s="2">
        <f t="shared" si="7"/>
        <v>11.081713244720113</v>
      </c>
      <c r="M23" s="38">
        <f t="shared" si="8"/>
        <v>58.285541725264927</v>
      </c>
      <c r="N23" s="38">
        <f t="shared" si="9"/>
        <v>52.360275379785001</v>
      </c>
      <c r="O23" s="38">
        <f t="shared" si="10"/>
        <v>14.033350708700237</v>
      </c>
      <c r="P23" s="34">
        <f t="shared" si="11"/>
        <v>18.418261224562183</v>
      </c>
    </row>
    <row r="24" spans="1:16">
      <c r="D24" s="60">
        <v>8</v>
      </c>
      <c r="E24" s="17">
        <f>(0.5+(0.00000036*$B$16*$B$19^3*($B$13*0.0254)*($B$12*0.0254)^4)*($B$20+$B$21)*$D24-(0.25-(0.00000036*$B$16*$B$19^3*($B$13*0.0254)*($B$12*0.0254)^4)*(($B$20+$B$21)^2*$B$14-($B$20+$B$21)*$D24))^(1/2))/((0.00000036*$B$16*$B$19^3*($B$13*0.0254)*($B$12*0.0254)^4)*($B$20+$B$21)^2)</f>
        <v>3.9171863671721963</v>
      </c>
      <c r="F24" s="61">
        <f>D24*E24</f>
        <v>31.33749093737757</v>
      </c>
      <c r="G24" s="61">
        <f>(D24-($B$20+$B$21)*E24)*(E24-$B$14)</f>
        <v>23.899589942356702</v>
      </c>
      <c r="H24" s="61">
        <f>G24/F24*100</f>
        <v>76.265167463840044</v>
      </c>
      <c r="I24" s="62">
        <f>$B$19*(D24-(E24*($B$20+$B$21)))</f>
        <v>3718.5139920133261</v>
      </c>
      <c r="J24" s="38">
        <f>(($B$12*0.0254)^4)*($B$13*0.0254)*(I24^3)*2*$B$16*0.00000018</f>
        <v>23.899589942358592</v>
      </c>
      <c r="K24" s="38">
        <f>$K$11*0.6*((0.6*3.1416*($B$12*0.0254)^2*J24^2)^(1/3))/9.81*1000</f>
        <v>401.29717267000547</v>
      </c>
      <c r="L24" s="38">
        <f>K24/F24</f>
        <v>12.805657398415427</v>
      </c>
      <c r="M24" s="38">
        <f>1.30652287/($B$12*0.0254)*POWER(K24*0.00981,3/2)</f>
        <v>30.905986337000083</v>
      </c>
      <c r="N24" s="38">
        <f>POWER(I24/$B$15,3)*100</f>
        <v>27.764105944437677</v>
      </c>
      <c r="O24" s="38">
        <f>0.65*60*O$10/E24</f>
        <v>19.9122514705135</v>
      </c>
      <c r="P24" s="34">
        <f>($B$20*$B$14+SQRT($B$20^2*$B$14^2+4*$B$20*($R$9-(D24*$B$14))))/(2*$B$20)</f>
        <v>18.919276981283645</v>
      </c>
    </row>
    <row r="26" spans="1:16">
      <c r="D26" s="36"/>
      <c r="E26" s="9"/>
      <c r="F26" s="9"/>
      <c r="G26" s="36"/>
      <c r="H26" s="9"/>
      <c r="I26" s="36"/>
      <c r="J26" s="36"/>
      <c r="K26" s="36"/>
      <c r="L26" s="9"/>
      <c r="M26" s="36"/>
      <c r="N26" s="36"/>
      <c r="O26" s="36"/>
      <c r="P26" s="88"/>
    </row>
    <row r="27" spans="1:16">
      <c r="D27" s="36"/>
      <c r="E27" s="9"/>
      <c r="F27" s="9"/>
      <c r="G27" s="36"/>
      <c r="H27" s="9"/>
      <c r="I27" s="36"/>
      <c r="J27" s="36"/>
      <c r="K27" s="36"/>
      <c r="L27" s="9"/>
      <c r="M27" s="36"/>
      <c r="N27" s="36"/>
      <c r="O27" s="36"/>
      <c r="P27" s="88"/>
    </row>
    <row r="28" spans="1:16">
      <c r="D28" s="36"/>
      <c r="E28" s="9"/>
      <c r="F28" s="9"/>
      <c r="G28" s="36"/>
      <c r="H28" s="9"/>
      <c r="I28" s="36"/>
      <c r="J28" s="36"/>
      <c r="K28" s="36"/>
      <c r="L28" s="9"/>
      <c r="M28" s="36"/>
      <c r="N28" s="36"/>
      <c r="O28" s="36"/>
      <c r="P28" s="88"/>
    </row>
    <row r="29" spans="1:16">
      <c r="H29" s="57" t="s">
        <v>141</v>
      </c>
      <c r="I29" s="90"/>
      <c r="J29" s="90"/>
      <c r="K29" s="91"/>
    </row>
    <row r="30" spans="1:16">
      <c r="O30" s="186" t="s">
        <v>407</v>
      </c>
      <c r="P30" s="186"/>
    </row>
    <row r="31" spans="1:16">
      <c r="D31" s="2"/>
      <c r="E31" s="2"/>
      <c r="F31" s="2"/>
      <c r="G31" s="2"/>
      <c r="H31" s="2"/>
      <c r="I31" s="2"/>
      <c r="J31" s="2"/>
      <c r="K31" s="4" t="s">
        <v>142</v>
      </c>
      <c r="L31" s="2"/>
      <c r="M31" s="2"/>
      <c r="N31" s="2"/>
      <c r="O31" s="89">
        <v>1.25</v>
      </c>
      <c r="P31" s="89" t="s">
        <v>394</v>
      </c>
    </row>
    <row r="32" spans="1:16">
      <c r="D32" s="2"/>
      <c r="E32" s="2"/>
      <c r="F32" s="2"/>
      <c r="G32" s="2"/>
      <c r="H32" s="2"/>
      <c r="I32" s="2"/>
      <c r="J32" s="2"/>
      <c r="K32" s="4">
        <v>1.34</v>
      </c>
      <c r="M32" s="2" t="s">
        <v>113</v>
      </c>
      <c r="N32" s="2" t="s">
        <v>113</v>
      </c>
      <c r="O32" s="89" t="s">
        <v>116</v>
      </c>
    </row>
    <row r="33" spans="1:16">
      <c r="A33" s="5" t="s">
        <v>249</v>
      </c>
      <c r="B33" s="5">
        <v>13</v>
      </c>
      <c r="D33" s="11" t="s">
        <v>425</v>
      </c>
      <c r="E33" s="12" t="s">
        <v>426</v>
      </c>
      <c r="F33" s="12" t="s">
        <v>262</v>
      </c>
      <c r="G33" s="12" t="s">
        <v>127</v>
      </c>
      <c r="H33" s="12" t="s">
        <v>128</v>
      </c>
      <c r="I33" s="13" t="s">
        <v>129</v>
      </c>
      <c r="J33" s="2" t="s">
        <v>24</v>
      </c>
      <c r="K33" s="2" t="s">
        <v>25</v>
      </c>
      <c r="L33" s="9" t="s">
        <v>26</v>
      </c>
      <c r="M33" s="9" t="s">
        <v>133</v>
      </c>
      <c r="N33" s="9" t="s">
        <v>268</v>
      </c>
      <c r="O33" s="89" t="s">
        <v>118</v>
      </c>
      <c r="P33" t="s">
        <v>137</v>
      </c>
    </row>
    <row r="34" spans="1:16">
      <c r="A34" s="5" t="s">
        <v>143</v>
      </c>
      <c r="B34" s="5">
        <v>6.5</v>
      </c>
      <c r="D34" s="35">
        <v>15.3</v>
      </c>
      <c r="E34" s="9">
        <f t="shared" ref="E34:E44" si="12">(0.5+(0.00000036*$B$37*$B$19^3*($B$34*0.0254)*($B$33*0.0254)^4)*($B$20+$B$21)*$D34-(0.25-(0.00000036*$B$37*$B$19^3*($B$34*0.0254)*($B$33*0.0254)^4)*(($B$20+$B$21)^2*$B$14-($B$20+$B$21)*$D34))^(1/2))/((0.00000036*$B$37*$B$19^3*($B$34*0.0254)*($B$33*0.0254)^4)*($B$20+$B$21)^2)</f>
        <v>17.168335148227548</v>
      </c>
      <c r="F34" s="36">
        <f t="shared" ref="F34:F43" si="13">D34*E34</f>
        <v>262.67552776788148</v>
      </c>
      <c r="G34" s="36">
        <f t="shared" ref="G34:G43" si="14">(D34-($B$20+$B$21)*E34)*(E34-$B$14)</f>
        <v>226.5490773582024</v>
      </c>
      <c r="H34" s="9">
        <f t="shared" ref="H34:H43" si="15">G34/F34*100</f>
        <v>86.246739193152806</v>
      </c>
      <c r="I34" s="37">
        <f t="shared" ref="I34:I43" si="16">$B$19*(D34-(E34*($B$20+$B$21)))</f>
        <v>6712.7353835143194</v>
      </c>
      <c r="J34" s="38">
        <f t="shared" ref="J34:J43" si="17">(($B$33*0.0254)^4)*($B$34*0.0254)*(I34^3)*2*$B$37*0.00000018</f>
        <v>226.54907735820231</v>
      </c>
      <c r="K34" s="36">
        <f t="shared" ref="K34:K43" si="18">$K$32*0.6*((0.6*3.1416*($B$33*0.0254)^2*J34^2)^(1/3))/9.81*1000</f>
        <v>1797.4107387278111</v>
      </c>
      <c r="L34" s="2">
        <f t="shared" ref="L34:L43" si="19">K34/F34</f>
        <v>6.8427034448223489</v>
      </c>
      <c r="M34" s="38">
        <f t="shared" ref="M34:M43" si="20">1.30652287/($B$33*0.0254)*POWER(K34*0.00981,3/2)</f>
        <v>292.96413479810485</v>
      </c>
      <c r="N34" s="38">
        <f t="shared" ref="N34:N43" si="21">POWER(I34/$B$36,3)*100</f>
        <v>261.88564832233084</v>
      </c>
      <c r="O34" s="38">
        <f t="shared" ref="O34:O43" si="22">0.65*60*O$10/E34</f>
        <v>4.5432477480527682</v>
      </c>
      <c r="P34" s="33">
        <f t="shared" ref="P34:P43" si="23">($B$20*$B$14+SQRT($B$20^2*$B$14^2+4*$B$20*($R$9-(D34*$B$14))))/(2*$B$20)</f>
        <v>16.960728774922952</v>
      </c>
    </row>
    <row r="35" spans="1:16">
      <c r="A35" s="94"/>
      <c r="B35" s="5"/>
      <c r="D35" s="56">
        <v>15.2</v>
      </c>
      <c r="E35" s="9">
        <f t="shared" si="12"/>
        <v>16.971896491092785</v>
      </c>
      <c r="F35" s="36">
        <f t="shared" si="13"/>
        <v>257.9728266646103</v>
      </c>
      <c r="G35" s="36">
        <f t="shared" si="14"/>
        <v>222.48306763313337</v>
      </c>
      <c r="H35" s="36">
        <f t="shared" si="15"/>
        <v>86.242830498726491</v>
      </c>
      <c r="I35" s="37">
        <f t="shared" si="16"/>
        <v>6672.3335671546993</v>
      </c>
      <c r="J35" s="38">
        <f t="shared" si="17"/>
        <v>222.48306763313542</v>
      </c>
      <c r="K35" s="63">
        <f t="shared" si="18"/>
        <v>1775.8397635102588</v>
      </c>
      <c r="L35" s="38">
        <f t="shared" si="19"/>
        <v>6.8838248836921991</v>
      </c>
      <c r="M35" s="38">
        <f t="shared" si="20"/>
        <v>287.70613491977628</v>
      </c>
      <c r="N35" s="38">
        <f t="shared" si="21"/>
        <v>257.18543234550543</v>
      </c>
      <c r="O35" s="38">
        <f t="shared" si="22"/>
        <v>4.5958328841409131</v>
      </c>
      <c r="P35" s="34">
        <f t="shared" si="23"/>
        <v>16.989120351216613</v>
      </c>
    </row>
    <row r="36" spans="1:16">
      <c r="A36" s="4" t="s">
        <v>144</v>
      </c>
      <c r="B36" s="4">
        <v>4870</v>
      </c>
      <c r="D36" s="56">
        <v>14</v>
      </c>
      <c r="E36" s="9">
        <f t="shared" si="12"/>
        <v>14.692672281503452</v>
      </c>
      <c r="F36" s="36">
        <f t="shared" si="13"/>
        <v>205.69741194104833</v>
      </c>
      <c r="G36" s="36">
        <f t="shared" si="14"/>
        <v>177.14717106059948</v>
      </c>
      <c r="H36" s="9">
        <f t="shared" si="15"/>
        <v>86.120272194464363</v>
      </c>
      <c r="I36" s="37">
        <f t="shared" si="16"/>
        <v>6184.2945851950208</v>
      </c>
      <c r="J36" s="38">
        <f t="shared" si="17"/>
        <v>177.14717106059842</v>
      </c>
      <c r="K36" s="64">
        <f t="shared" si="18"/>
        <v>1525.5576161088286</v>
      </c>
      <c r="L36" s="2">
        <f t="shared" si="19"/>
        <v>7.4165134199454315</v>
      </c>
      <c r="M36" s="38">
        <f t="shared" si="20"/>
        <v>229.07958093178763</v>
      </c>
      <c r="N36" s="38">
        <f t="shared" si="21"/>
        <v>204.77815351381741</v>
      </c>
      <c r="O36" s="38">
        <f t="shared" si="22"/>
        <v>5.3087687866143929</v>
      </c>
      <c r="P36" s="34">
        <f t="shared" si="23"/>
        <v>17.326105035542231</v>
      </c>
    </row>
    <row r="37" spans="1:16">
      <c r="A37" s="4" t="s">
        <v>145</v>
      </c>
      <c r="B37" s="4">
        <v>1.06</v>
      </c>
      <c r="D37" s="56">
        <v>13</v>
      </c>
      <c r="E37" s="9">
        <f t="shared" si="12"/>
        <v>12.906009475616152</v>
      </c>
      <c r="F37" s="36">
        <f t="shared" si="13"/>
        <v>167.77812318300997</v>
      </c>
      <c r="G37" s="36">
        <f t="shared" si="14"/>
        <v>144.09769997765287</v>
      </c>
      <c r="H37" s="36">
        <f t="shared" si="15"/>
        <v>85.885869530482921</v>
      </c>
      <c r="I37" s="37">
        <f t="shared" si="16"/>
        <v>5772.9497593677233</v>
      </c>
      <c r="J37" s="38">
        <f t="shared" si="17"/>
        <v>144.09769997765258</v>
      </c>
      <c r="K37" s="64">
        <f t="shared" si="18"/>
        <v>1329.3637524870273</v>
      </c>
      <c r="L37" s="38">
        <f t="shared" si="19"/>
        <v>7.9233438023202609</v>
      </c>
      <c r="M37" s="38">
        <f t="shared" si="20"/>
        <v>186.34133712935858</v>
      </c>
      <c r="N37" s="38">
        <f t="shared" si="21"/>
        <v>166.57370676790342</v>
      </c>
      <c r="O37" s="38">
        <f t="shared" si="22"/>
        <v>6.0436961670738398</v>
      </c>
      <c r="P37" s="34">
        <f t="shared" si="23"/>
        <v>17.601883512571828</v>
      </c>
    </row>
    <row r="38" spans="1:16">
      <c r="A38" s="5"/>
      <c r="B38" s="5"/>
      <c r="D38" s="56">
        <v>12</v>
      </c>
      <c r="E38" s="9">
        <f t="shared" si="12"/>
        <v>11.225271307781247</v>
      </c>
      <c r="F38" s="36">
        <f t="shared" si="13"/>
        <v>134.70325569337496</v>
      </c>
      <c r="G38" s="36">
        <f t="shared" si="14"/>
        <v>115.15600328797383</v>
      </c>
      <c r="H38" s="9">
        <f t="shared" si="15"/>
        <v>85.488656302490156</v>
      </c>
      <c r="I38" s="37">
        <f t="shared" si="16"/>
        <v>5357.2381903367177</v>
      </c>
      <c r="J38" s="38">
        <f t="shared" si="17"/>
        <v>115.15600328797468</v>
      </c>
      <c r="K38" s="64">
        <f t="shared" si="18"/>
        <v>1144.8014983238047</v>
      </c>
      <c r="L38" s="2">
        <f t="shared" si="19"/>
        <v>8.4986921246336955</v>
      </c>
      <c r="M38" s="38">
        <f t="shared" si="20"/>
        <v>148.91510159066996</v>
      </c>
      <c r="N38" s="38">
        <f t="shared" si="21"/>
        <v>133.11775501780841</v>
      </c>
      <c r="O38" s="38">
        <f t="shared" si="22"/>
        <v>6.948607108135656</v>
      </c>
      <c r="P38" s="34">
        <f t="shared" si="23"/>
        <v>17.87330996365522</v>
      </c>
    </row>
    <row r="39" spans="1:16">
      <c r="A39" s="5"/>
      <c r="B39" s="5"/>
      <c r="D39" s="56">
        <v>11</v>
      </c>
      <c r="E39" s="9">
        <f t="shared" si="12"/>
        <v>9.6539045728795081</v>
      </c>
      <c r="F39" s="36">
        <f t="shared" si="13"/>
        <v>106.19295030167459</v>
      </c>
      <c r="G39" s="36">
        <f t="shared" si="14"/>
        <v>90.12759656493796</v>
      </c>
      <c r="H39" s="36">
        <f t="shared" si="15"/>
        <v>84.871544023310477</v>
      </c>
      <c r="I39" s="37">
        <f t="shared" si="16"/>
        <v>4937.0177839830421</v>
      </c>
      <c r="J39" s="38">
        <f t="shared" si="17"/>
        <v>90.127596564936439</v>
      </c>
      <c r="K39" s="64">
        <f t="shared" si="18"/>
        <v>972.24934697698347</v>
      </c>
      <c r="L39" s="38">
        <f t="shared" si="19"/>
        <v>9.1554980270818582</v>
      </c>
      <c r="M39" s="38">
        <f t="shared" si="20"/>
        <v>116.549374894743</v>
      </c>
      <c r="N39" s="38">
        <f t="shared" si="21"/>
        <v>104.18547863173318</v>
      </c>
      <c r="O39" s="38">
        <f t="shared" si="22"/>
        <v>8.0796323820232914</v>
      </c>
      <c r="P39" s="34">
        <f t="shared" si="23"/>
        <v>18.140584144606265</v>
      </c>
    </row>
    <row r="40" spans="1:16">
      <c r="A40" s="5"/>
      <c r="B40" s="5"/>
      <c r="D40" s="56">
        <v>10.08</v>
      </c>
      <c r="E40" s="9">
        <f t="shared" si="12"/>
        <v>8.3079678392915532</v>
      </c>
      <c r="F40" s="36">
        <f t="shared" si="13"/>
        <v>83.744315820058858</v>
      </c>
      <c r="G40" s="36">
        <f t="shared" si="14"/>
        <v>70.378359615540944</v>
      </c>
      <c r="H40" s="9">
        <f t="shared" si="15"/>
        <v>84.039566060534426</v>
      </c>
      <c r="I40" s="37">
        <f t="shared" si="16"/>
        <v>4546.3040258252058</v>
      </c>
      <c r="J40" s="38">
        <f t="shared" si="17"/>
        <v>70.378359615540774</v>
      </c>
      <c r="K40" s="65">
        <f t="shared" si="18"/>
        <v>824.45171718193671</v>
      </c>
      <c r="L40" s="2">
        <f t="shared" si="19"/>
        <v>9.844867787246999</v>
      </c>
      <c r="M40" s="38">
        <f t="shared" si="20"/>
        <v>91.010457750294165</v>
      </c>
      <c r="N40" s="38">
        <f t="shared" si="21"/>
        <v>81.355804008136403</v>
      </c>
      <c r="O40" s="38">
        <f t="shared" si="22"/>
        <v>9.3885775088233014</v>
      </c>
      <c r="P40" s="34">
        <f t="shared" si="23"/>
        <v>18.382968312302253</v>
      </c>
    </row>
    <row r="41" spans="1:16">
      <c r="A41" s="5"/>
      <c r="B41" s="5"/>
      <c r="D41" s="56">
        <v>9</v>
      </c>
      <c r="E41" s="9">
        <f t="shared" si="12"/>
        <v>6.8540431921268175</v>
      </c>
      <c r="F41" s="36">
        <f t="shared" si="13"/>
        <v>61.686388729141356</v>
      </c>
      <c r="G41" s="36">
        <f t="shared" si="14"/>
        <v>50.959341479445079</v>
      </c>
      <c r="H41" s="36">
        <f t="shared" si="15"/>
        <v>82.610349753496436</v>
      </c>
      <c r="I41" s="37">
        <f t="shared" si="16"/>
        <v>4082.4420694045716</v>
      </c>
      <c r="J41" s="38">
        <f t="shared" si="17"/>
        <v>50.959341479444767</v>
      </c>
      <c r="K41" s="64">
        <f t="shared" si="18"/>
        <v>664.79590915689414</v>
      </c>
      <c r="L41" s="38">
        <f t="shared" si="19"/>
        <v>10.777027523461378</v>
      </c>
      <c r="M41" s="38">
        <f t="shared" si="20"/>
        <v>65.898566264305273</v>
      </c>
      <c r="N41" s="38">
        <f t="shared" si="21"/>
        <v>58.907854920647083</v>
      </c>
      <c r="O41" s="38">
        <f t="shared" si="22"/>
        <v>11.38014421759086</v>
      </c>
      <c r="P41" s="34">
        <f t="shared" si="23"/>
        <v>18.663402070907267</v>
      </c>
    </row>
    <row r="42" spans="1:16">
      <c r="A42" s="5"/>
      <c r="B42" s="5"/>
      <c r="D42" s="56">
        <v>8.5</v>
      </c>
      <c r="E42" s="9">
        <f t="shared" si="12"/>
        <v>6.2283730366675698</v>
      </c>
      <c r="F42" s="36">
        <f t="shared" si="13"/>
        <v>52.94117081167434</v>
      </c>
      <c r="G42" s="36">
        <f t="shared" si="14"/>
        <v>43.267326570037291</v>
      </c>
      <c r="H42" s="9">
        <f t="shared" si="15"/>
        <v>81.727181145937521</v>
      </c>
      <c r="I42" s="37">
        <f t="shared" si="16"/>
        <v>3865.7353215633793</v>
      </c>
      <c r="J42" s="38">
        <f t="shared" si="17"/>
        <v>43.267326570037987</v>
      </c>
      <c r="K42" s="64">
        <f t="shared" si="18"/>
        <v>596.09092198869678</v>
      </c>
      <c r="L42" s="2">
        <f t="shared" si="19"/>
        <v>11.259496396654106</v>
      </c>
      <c r="M42" s="38">
        <f t="shared" si="20"/>
        <v>55.951562643427863</v>
      </c>
      <c r="N42" s="38">
        <f t="shared" si="21"/>
        <v>50.016058339767767</v>
      </c>
      <c r="O42" s="38">
        <f t="shared" si="22"/>
        <v>12.523334671960036</v>
      </c>
      <c r="P42" s="34">
        <f t="shared" si="23"/>
        <v>18.79178451256324</v>
      </c>
    </row>
    <row r="43" spans="1:16">
      <c r="A43" s="2"/>
      <c r="B43" s="2"/>
      <c r="D43" s="56">
        <v>7.95</v>
      </c>
      <c r="E43" s="9">
        <f t="shared" si="12"/>
        <v>5.5756810419138967</v>
      </c>
      <c r="F43" s="36">
        <f t="shared" si="13"/>
        <v>44.326664283215479</v>
      </c>
      <c r="G43" s="36">
        <f t="shared" si="14"/>
        <v>35.703311972167192</v>
      </c>
      <c r="H43" s="9">
        <f t="shared" si="15"/>
        <v>80.545902899547613</v>
      </c>
      <c r="I43" s="37">
        <f t="shared" si="16"/>
        <v>3625.8925490470997</v>
      </c>
      <c r="J43" s="38">
        <f t="shared" si="17"/>
        <v>35.703311972166048</v>
      </c>
      <c r="K43" s="66">
        <f t="shared" si="18"/>
        <v>524.41866028165339</v>
      </c>
      <c r="L43" s="2">
        <f t="shared" si="19"/>
        <v>11.830772036690954</v>
      </c>
      <c r="M43" s="38">
        <f t="shared" si="20"/>
        <v>46.170083865820452</v>
      </c>
      <c r="N43" s="38">
        <f t="shared" si="21"/>
        <v>41.272227245937238</v>
      </c>
      <c r="O43" s="38">
        <f t="shared" si="22"/>
        <v>13.989322454719519</v>
      </c>
      <c r="P43" s="34">
        <f t="shared" si="23"/>
        <v>18.931977987921211</v>
      </c>
    </row>
    <row r="44" spans="1:16">
      <c r="D44" s="60">
        <v>7</v>
      </c>
      <c r="E44" s="17">
        <f t="shared" si="12"/>
        <v>4.5381057932996116</v>
      </c>
      <c r="F44" s="61">
        <f>D44*E44</f>
        <v>31.766740553097282</v>
      </c>
      <c r="G44" s="61">
        <f>(D44-($B$20+$B$21)*E44)*(E44-$B$14)</f>
        <v>24.724807390791401</v>
      </c>
      <c r="H44" s="17">
        <f>G44/F44*100</f>
        <v>77.832371090967072</v>
      </c>
      <c r="I44" s="62">
        <f>$B$19*(D44-(E44*($B$20+$B$21)))</f>
        <v>3207.9165886712235</v>
      </c>
      <c r="J44" s="38">
        <f>(($B$33*0.0254)^4)*($B$34*0.0254)*(I44^3)*2*$B$37*0.00000018</f>
        <v>24.724807390790382</v>
      </c>
      <c r="K44" s="36">
        <f>$K$32*0.6*((0.6*3.1416*($B$33*0.0254)^2*J44^2)^(1/3))/9.81*1000</f>
        <v>410.4822777962641</v>
      </c>
      <c r="L44" s="2">
        <f>K44/F44</f>
        <v>12.921762530535785</v>
      </c>
      <c r="M44" s="38">
        <f>1.30652287/($B$33*0.0254)*POWER(K44*0.00981,3/2)</f>
        <v>31.97312427734963</v>
      </c>
      <c r="N44" s="38">
        <f>POWER(I44/$B$36,3)*100</f>
        <v>28.58132237256477</v>
      </c>
      <c r="O44" s="38">
        <f>0.65*60*O$10/E44</f>
        <v>17.18778793459704</v>
      </c>
      <c r="P44" s="34">
        <f>($B$20*$B$14+SQRT($B$20^2*$B$14^2+4*$B$20*($R$9-(D44*$B$14))))/(2*$B$20)</f>
        <v>19.171664407169242</v>
      </c>
    </row>
    <row r="47" spans="1:16">
      <c r="D47" s="36"/>
      <c r="E47" s="9"/>
      <c r="F47" s="9"/>
      <c r="G47" s="36"/>
      <c r="H47" s="9"/>
      <c r="I47" s="36"/>
      <c r="J47" s="36"/>
      <c r="K47" s="36"/>
      <c r="L47" s="9"/>
      <c r="M47" s="36"/>
      <c r="N47" s="36"/>
      <c r="O47" s="36"/>
      <c r="P47" s="88"/>
    </row>
    <row r="49" spans="1:16">
      <c r="H49" s="57" t="s">
        <v>280</v>
      </c>
      <c r="I49" s="90"/>
      <c r="J49" s="90"/>
      <c r="K49" s="91"/>
    </row>
    <row r="50" spans="1:16">
      <c r="O50" s="186" t="s">
        <v>407</v>
      </c>
      <c r="P50" s="186"/>
    </row>
    <row r="51" spans="1:16">
      <c r="D51" s="2"/>
      <c r="E51" s="2"/>
      <c r="F51" s="2"/>
      <c r="G51" s="2"/>
      <c r="H51" s="2"/>
      <c r="I51" s="2"/>
      <c r="J51" s="2"/>
      <c r="K51" s="4" t="s">
        <v>397</v>
      </c>
      <c r="L51" s="2"/>
      <c r="M51" s="2"/>
      <c r="N51" s="2"/>
      <c r="O51" s="89">
        <v>1.25</v>
      </c>
      <c r="P51" s="89" t="s">
        <v>394</v>
      </c>
    </row>
    <row r="52" spans="1:16">
      <c r="D52" s="2"/>
      <c r="E52" s="2"/>
      <c r="F52" s="2"/>
      <c r="G52" s="2"/>
      <c r="H52" s="2"/>
      <c r="I52" s="2"/>
      <c r="J52" s="2"/>
      <c r="K52" s="4">
        <v>1.165</v>
      </c>
      <c r="M52" s="2" t="s">
        <v>398</v>
      </c>
      <c r="N52" s="2" t="s">
        <v>399</v>
      </c>
      <c r="O52" s="89" t="s">
        <v>116</v>
      </c>
    </row>
    <row r="53" spans="1:16">
      <c r="A53" s="5" t="s">
        <v>400</v>
      </c>
      <c r="B53" s="5">
        <v>14</v>
      </c>
      <c r="D53" s="11" t="s">
        <v>425</v>
      </c>
      <c r="E53" s="12" t="s">
        <v>426</v>
      </c>
      <c r="F53" s="12" t="s">
        <v>262</v>
      </c>
      <c r="G53" s="12" t="s">
        <v>127</v>
      </c>
      <c r="H53" s="12" t="s">
        <v>128</v>
      </c>
      <c r="I53" s="13" t="s">
        <v>129</v>
      </c>
      <c r="J53" s="2" t="s">
        <v>24</v>
      </c>
      <c r="K53" s="2" t="s">
        <v>25</v>
      </c>
      <c r="L53" s="9" t="s">
        <v>26</v>
      </c>
      <c r="M53" s="9" t="s">
        <v>133</v>
      </c>
      <c r="N53" s="9" t="s">
        <v>268</v>
      </c>
      <c r="O53" s="89" t="s">
        <v>118</v>
      </c>
      <c r="P53" t="s">
        <v>137</v>
      </c>
    </row>
    <row r="54" spans="1:16">
      <c r="A54" s="5" t="s">
        <v>143</v>
      </c>
      <c r="B54" s="5">
        <v>4.7</v>
      </c>
      <c r="D54" s="35">
        <v>16.2</v>
      </c>
      <c r="E54" s="9">
        <f t="shared" ref="E54:E64" si="24">(0.5+(0.00000036*$B$57*$B$19^3*($B$54*0.0254)*($B$53*0.0254)^4)*($B$20+$B$21)*$D54-(0.25-(0.00000036*$B$57*$B$19^3*($B$54*0.0254)*($B$53*0.0254)^4)*(($B$20+$B$21)^2*$B$14-($B$20+$B$21)*$D54))^(1/2))/((0.00000036*$B$57*$B$19^3*($B$54*0.0254)*($B$53*0.0254)^4)*($B$20+$B$21)^2)</f>
        <v>16.825046500606149</v>
      </c>
      <c r="F54" s="36">
        <f t="shared" ref="F54:F62" si="25">D54*E54</f>
        <v>272.56575330981963</v>
      </c>
      <c r="G54" s="36">
        <f t="shared" ref="G54:G62" si="26">(D54-($B$20+$B$21)*E54)*(E54-$B$14)</f>
        <v>236.68787034331825</v>
      </c>
      <c r="H54" s="9">
        <f t="shared" ref="H54:H62" si="27">G54/F54*100</f>
        <v>86.836980607127217</v>
      </c>
      <c r="I54" s="37">
        <f t="shared" ref="I54:I62" si="28">$B$19*(D54-(E54*($B$20+$B$21)))</f>
        <v>7163.3874580125103</v>
      </c>
      <c r="J54" s="38">
        <f t="shared" ref="J54:J62" si="29">(($B$53*0.0254)^4)*($B$54*0.0254)*(I54^3)*2*$B$57*0.00000018</f>
        <v>236.68787034331646</v>
      </c>
      <c r="K54" s="36">
        <f>$K$52*0.6*((0.6*3.1416*($B$53*0.0254)^2*J54^2)^(1/3))/9.81*1000</f>
        <v>1690.4437242281303</v>
      </c>
      <c r="L54" s="2">
        <f t="shared" ref="L54:L62" si="30">K54/F54</f>
        <v>6.2019666950111647</v>
      </c>
      <c r="M54" s="38">
        <f t="shared" ref="M54:M62" si="31">1.30652287/($B$53*0.0254)*POWER(K54*0.00981,3/2)</f>
        <v>248.11890231793339</v>
      </c>
      <c r="N54" s="38">
        <f t="shared" ref="N54:N62" si="32">POWER(I54/$B$56,3)*100</f>
        <v>261.42390384727412</v>
      </c>
      <c r="O54" s="38">
        <f t="shared" ref="O54:O62" si="33">0.65*60*O$10/E54</f>
        <v>4.6359455825093816</v>
      </c>
      <c r="P54" s="33">
        <f t="shared" ref="P54:P62" si="34">($B$20*$B$14+SQRT($B$20^2*$B$14^2+4*$B$20*($R$9-(D54*$B$14))))/(2*$B$20)</f>
        <v>16.702979768167136</v>
      </c>
    </row>
    <row r="55" spans="1:16">
      <c r="A55" s="94"/>
      <c r="B55" s="5"/>
      <c r="D55" s="56">
        <v>16.3</v>
      </c>
      <c r="E55" s="9">
        <f t="shared" si="24"/>
        <v>17.008693037343821</v>
      </c>
      <c r="F55" s="36">
        <f t="shared" si="25"/>
        <v>277.24169650870431</v>
      </c>
      <c r="G55" s="36">
        <f t="shared" si="26"/>
        <v>240.7681583339637</v>
      </c>
      <c r="H55" s="36">
        <f t="shared" si="27"/>
        <v>86.844136854574657</v>
      </c>
      <c r="I55" s="37">
        <f t="shared" si="28"/>
        <v>7204.3166295355013</v>
      </c>
      <c r="J55" s="38">
        <f t="shared" si="29"/>
        <v>240.76815833396518</v>
      </c>
      <c r="K55" s="63">
        <f t="shared" ref="K55:K62" si="35">$K$52*0.6*((0.6*3.1416*($B$53*0.0254)^2*J55^2)^(1/3))/9.81*1000</f>
        <v>1709.816156969157</v>
      </c>
      <c r="L55" s="38">
        <f t="shared" si="30"/>
        <v>6.167240276267302</v>
      </c>
      <c r="M55" s="38">
        <f t="shared" si="31"/>
        <v>252.39625111452494</v>
      </c>
      <c r="N55" s="38">
        <f t="shared" si="32"/>
        <v>265.93061901518399</v>
      </c>
      <c r="O55" s="38">
        <f t="shared" si="33"/>
        <v>4.5858902755635214</v>
      </c>
      <c r="P55" s="34">
        <f t="shared" si="34"/>
        <v>16.674089002173936</v>
      </c>
    </row>
    <row r="56" spans="1:16">
      <c r="A56" s="4" t="s">
        <v>340</v>
      </c>
      <c r="B56" s="4">
        <v>5200</v>
      </c>
      <c r="D56" s="56">
        <v>15</v>
      </c>
      <c r="E56" s="9">
        <f t="shared" si="24"/>
        <v>14.690936744711431</v>
      </c>
      <c r="F56" s="36">
        <f t="shared" si="25"/>
        <v>220.36405117067147</v>
      </c>
      <c r="G56" s="36">
        <f t="shared" si="26"/>
        <v>191.01802696215728</v>
      </c>
      <c r="H56" s="9">
        <f t="shared" si="27"/>
        <v>86.682934874079905</v>
      </c>
      <c r="I56" s="37">
        <f t="shared" si="28"/>
        <v>6669.3661326992715</v>
      </c>
      <c r="J56" s="38">
        <f t="shared" si="29"/>
        <v>191.01802696215677</v>
      </c>
      <c r="K56" s="64">
        <f t="shared" si="35"/>
        <v>1465.3216040814164</v>
      </c>
      <c r="L56" s="2">
        <f t="shared" si="30"/>
        <v>6.6495492177466282</v>
      </c>
      <c r="M56" s="38">
        <f t="shared" si="31"/>
        <v>200.24339694315927</v>
      </c>
      <c r="N56" s="38">
        <f t="shared" si="32"/>
        <v>210.98114677874099</v>
      </c>
      <c r="O56" s="38">
        <f t="shared" si="33"/>
        <v>5.309395946319019</v>
      </c>
      <c r="P56" s="34">
        <f t="shared" si="34"/>
        <v>17.045758227498251</v>
      </c>
    </row>
    <row r="57" spans="1:16">
      <c r="A57" s="4" t="s">
        <v>110</v>
      </c>
      <c r="B57" s="4">
        <v>0.93700000000000006</v>
      </c>
      <c r="D57" s="56">
        <v>14</v>
      </c>
      <c r="E57" s="9">
        <f t="shared" si="24"/>
        <v>13.012801208320008</v>
      </c>
      <c r="F57" s="36">
        <f t="shared" si="25"/>
        <v>182.1792169164801</v>
      </c>
      <c r="G57" s="36">
        <f t="shared" si="26"/>
        <v>157.47078279922923</v>
      </c>
      <c r="H57" s="9">
        <f t="shared" si="27"/>
        <v>86.437292609190195</v>
      </c>
      <c r="I57" s="37">
        <f t="shared" si="28"/>
        <v>6253.5472701870076</v>
      </c>
      <c r="J57" s="38">
        <f t="shared" si="29"/>
        <v>157.47078279922869</v>
      </c>
      <c r="K57" s="64">
        <f t="shared" si="35"/>
        <v>1288.2991108368687</v>
      </c>
      <c r="L57" s="2">
        <f t="shared" si="30"/>
        <v>7.0716030765874258</v>
      </c>
      <c r="M57" s="38">
        <f t="shared" si="31"/>
        <v>165.07596151259057</v>
      </c>
      <c r="N57" s="38">
        <f t="shared" si="32"/>
        <v>173.92791071865338</v>
      </c>
      <c r="O57" s="38">
        <f t="shared" si="33"/>
        <v>5.9940975621858463</v>
      </c>
      <c r="P57" s="34">
        <f t="shared" si="34"/>
        <v>17.326105035542231</v>
      </c>
    </row>
    <row r="58" spans="1:16">
      <c r="A58" s="5"/>
      <c r="B58" s="5"/>
      <c r="D58" s="56">
        <v>13</v>
      </c>
      <c r="E58" s="9">
        <f t="shared" si="24"/>
        <v>11.428552250477404</v>
      </c>
      <c r="F58" s="36">
        <f t="shared" si="25"/>
        <v>148.57117925620625</v>
      </c>
      <c r="G58" s="36">
        <f t="shared" si="26"/>
        <v>127.84631725317787</v>
      </c>
      <c r="H58" s="9">
        <f t="shared" si="27"/>
        <v>86.050550243470155</v>
      </c>
      <c r="I58" s="37">
        <f t="shared" si="28"/>
        <v>5833.8579334740689</v>
      </c>
      <c r="J58" s="38">
        <f t="shared" si="29"/>
        <v>127.84631725317739</v>
      </c>
      <c r="K58" s="64">
        <f t="shared" si="35"/>
        <v>1121.1804876054966</v>
      </c>
      <c r="L58" s="2">
        <f t="shared" si="30"/>
        <v>7.5464197916343974</v>
      </c>
      <c r="M58" s="38">
        <f t="shared" si="31"/>
        <v>134.02075846234573</v>
      </c>
      <c r="N58" s="38">
        <f t="shared" si="32"/>
        <v>141.20741929167687</v>
      </c>
      <c r="O58" s="38">
        <f t="shared" si="33"/>
        <v>6.8250114529372441</v>
      </c>
      <c r="P58" s="34">
        <f t="shared" si="34"/>
        <v>17.601883512571828</v>
      </c>
    </row>
    <row r="59" spans="1:16">
      <c r="A59" s="5"/>
      <c r="B59" s="5"/>
      <c r="D59" s="56">
        <v>12</v>
      </c>
      <c r="E59" s="9">
        <f t="shared" si="24"/>
        <v>9.9408614339885126</v>
      </c>
      <c r="F59" s="36">
        <f t="shared" si="25"/>
        <v>119.29033720786215</v>
      </c>
      <c r="G59" s="36">
        <f t="shared" si="26"/>
        <v>101.96655407114375</v>
      </c>
      <c r="H59" s="9">
        <f t="shared" si="27"/>
        <v>85.47763084403735</v>
      </c>
      <c r="I59" s="37">
        <f t="shared" si="28"/>
        <v>5410.1879873838234</v>
      </c>
      <c r="J59" s="38">
        <f t="shared" si="29"/>
        <v>101.96655407114483</v>
      </c>
      <c r="K59" s="64">
        <f t="shared" si="35"/>
        <v>964.2475511406866</v>
      </c>
      <c r="L59" s="2">
        <f t="shared" si="30"/>
        <v>8.0831991400987953</v>
      </c>
      <c r="M59" s="38">
        <f t="shared" si="31"/>
        <v>106.89111120302518</v>
      </c>
      <c r="N59" s="38">
        <f t="shared" si="32"/>
        <v>112.62298565814766</v>
      </c>
      <c r="O59" s="38">
        <f t="shared" si="33"/>
        <v>7.8464024992152543</v>
      </c>
      <c r="P59" s="34">
        <f t="shared" si="34"/>
        <v>17.87330996365522</v>
      </c>
    </row>
    <row r="60" spans="1:16">
      <c r="A60" s="5"/>
      <c r="B60" s="5"/>
      <c r="D60" s="56">
        <v>11.05</v>
      </c>
      <c r="E60" s="9">
        <f t="shared" si="24"/>
        <v>8.6195415169066507</v>
      </c>
      <c r="F60" s="36">
        <f t="shared" si="25"/>
        <v>95.245933761818492</v>
      </c>
      <c r="G60" s="36">
        <f t="shared" si="26"/>
        <v>80.676860428225567</v>
      </c>
      <c r="H60" s="9">
        <f t="shared" si="27"/>
        <v>84.703731951407178</v>
      </c>
      <c r="I60" s="37">
        <f t="shared" si="28"/>
        <v>5003.9094009655228</v>
      </c>
      <c r="J60" s="38">
        <f t="shared" si="29"/>
        <v>80.676860428224757</v>
      </c>
      <c r="K60" s="65">
        <f t="shared" si="35"/>
        <v>824.86468186511308</v>
      </c>
      <c r="L60" s="2">
        <f t="shared" si="30"/>
        <v>8.6603663724674291</v>
      </c>
      <c r="M60" s="38">
        <f t="shared" si="31"/>
        <v>84.573214600616751</v>
      </c>
      <c r="N60" s="38">
        <f t="shared" si="32"/>
        <v>89.108325545773951</v>
      </c>
      <c r="O60" s="38">
        <f t="shared" si="33"/>
        <v>9.049205209698016</v>
      </c>
      <c r="P60" s="34">
        <f t="shared" si="34"/>
        <v>18.127316140819538</v>
      </c>
    </row>
    <row r="61" spans="1:16">
      <c r="A61" s="5"/>
      <c r="B61" s="5"/>
      <c r="D61" s="56">
        <v>10.5</v>
      </c>
      <c r="E61" s="9">
        <f t="shared" si="24"/>
        <v>7.8965357900220878</v>
      </c>
      <c r="F61" s="36">
        <f t="shared" si="25"/>
        <v>82.913625795231923</v>
      </c>
      <c r="G61" s="36">
        <f t="shared" si="26"/>
        <v>69.750391642889952</v>
      </c>
      <c r="H61" s="9">
        <f t="shared" si="27"/>
        <v>84.12416050306301</v>
      </c>
      <c r="I61" s="37">
        <f t="shared" si="28"/>
        <v>4766.9653120563389</v>
      </c>
      <c r="J61" s="38">
        <f t="shared" si="29"/>
        <v>69.750391642890108</v>
      </c>
      <c r="K61" s="64">
        <f t="shared" si="35"/>
        <v>748.59654164183007</v>
      </c>
      <c r="L61" s="2">
        <f t="shared" si="30"/>
        <v>9.0286311141501105</v>
      </c>
      <c r="M61" s="38">
        <f t="shared" si="31"/>
        <v>73.119043175203132</v>
      </c>
      <c r="N61" s="38">
        <f t="shared" si="32"/>
        <v>77.039941471067067</v>
      </c>
      <c r="O61" s="38">
        <f t="shared" si="33"/>
        <v>9.8777491895318601</v>
      </c>
      <c r="P61" s="34">
        <f t="shared" si="34"/>
        <v>18.272722460352714</v>
      </c>
    </row>
    <row r="62" spans="1:16">
      <c r="A62" s="5"/>
      <c r="B62" s="5"/>
      <c r="D62" s="56">
        <v>9.5</v>
      </c>
      <c r="E62" s="9">
        <f t="shared" si="24"/>
        <v>6.6627981340531841</v>
      </c>
      <c r="F62" s="36">
        <f t="shared" si="25"/>
        <v>63.296582273505251</v>
      </c>
      <c r="G62" s="36">
        <f t="shared" si="26"/>
        <v>52.376257833733746</v>
      </c>
      <c r="H62" s="9">
        <f t="shared" si="27"/>
        <v>82.74737110988923</v>
      </c>
      <c r="I62" s="37">
        <f t="shared" si="28"/>
        <v>4332.8261469236577</v>
      </c>
      <c r="J62" s="38">
        <f t="shared" si="29"/>
        <v>52.376257833734378</v>
      </c>
      <c r="K62" s="64">
        <f t="shared" si="35"/>
        <v>618.45251505210399</v>
      </c>
      <c r="L62" s="2">
        <f t="shared" si="30"/>
        <v>9.770709457578036</v>
      </c>
      <c r="M62" s="38">
        <f t="shared" si="31"/>
        <v>54.905811533042069</v>
      </c>
      <c r="N62" s="38">
        <f t="shared" si="32"/>
        <v>57.850052780251637</v>
      </c>
      <c r="O62" s="38">
        <f t="shared" si="33"/>
        <v>11.706793216703717</v>
      </c>
      <c r="P62" s="34">
        <f t="shared" si="34"/>
        <v>18.534110754340247</v>
      </c>
    </row>
    <row r="63" spans="1:16">
      <c r="A63" s="2"/>
      <c r="B63" s="2"/>
      <c r="D63" s="56">
        <v>8.7200000000000006</v>
      </c>
      <c r="E63" s="9">
        <f t="shared" si="24"/>
        <v>5.7745858006301463</v>
      </c>
      <c r="F63" s="36">
        <f>D63*E63</f>
        <v>50.354388181494876</v>
      </c>
      <c r="G63" s="36">
        <f>(D63-($B$20+$B$21)*E63)*(E63-$B$14)</f>
        <v>40.936663516586393</v>
      </c>
      <c r="H63" s="9">
        <f>G63/F63*100</f>
        <v>81.29711231727471</v>
      </c>
      <c r="I63" s="37">
        <f>$B$19*(D63-(E63*($B$20+$B$21)))</f>
        <v>3991.1427003690228</v>
      </c>
      <c r="J63" s="38">
        <f>(($B$53*0.0254)^4)*($B$54*0.0254)*(I63^3)*2*$B$57*0.00000018</f>
        <v>40.936663516586172</v>
      </c>
      <c r="K63" s="66">
        <f>$K$52*0.6*((0.6*3.1416*($B$53*0.0254)^2*J63^2)^(1/3))/9.81*1000</f>
        <v>524.7571261020388</v>
      </c>
      <c r="L63" s="2">
        <f>K63/F63</f>
        <v>10.421278960050712</v>
      </c>
      <c r="M63" s="38">
        <f>1.30652287/($B$53*0.0254)*POWER(K63*0.00981,3/2)</f>
        <v>42.913732763579965</v>
      </c>
      <c r="N63" s="38">
        <f>POWER(I63/$B$56,3)*100</f>
        <v>45.214916892298731</v>
      </c>
      <c r="O63" s="38">
        <f>0.65*60*O$10/E63</f>
        <v>13.507462299978004</v>
      </c>
      <c r="P63" s="34">
        <f>($B$20*$B$14+SQRT($B$20^2*$B$14^2+4*$B$20*($R$9-(D63*$B$14))))/(2*$B$20)</f>
        <v>18.735406985427591</v>
      </c>
    </row>
    <row r="64" spans="1:16">
      <c r="A64" s="2"/>
      <c r="B64" s="2"/>
      <c r="D64" s="60">
        <v>7.6</v>
      </c>
      <c r="E64" s="17">
        <f t="shared" si="24"/>
        <v>4.6161910433263822</v>
      </c>
      <c r="F64" s="61">
        <f>D64*E64</f>
        <v>35.083051929280501</v>
      </c>
      <c r="G64" s="61">
        <f>(D64-($B$20+$B$21)*E64)*(E64-$B$14)</f>
        <v>27.505669241605329</v>
      </c>
      <c r="H64" s="17">
        <f>G64/F64*100</f>
        <v>78.401586318802984</v>
      </c>
      <c r="I64" s="62">
        <f>$B$19*(D64-(E64*($B$20+$B$21)))</f>
        <v>3495.6975242388698</v>
      </c>
      <c r="J64" s="38">
        <f>(($B$53*0.0254)^4)*($B$54*0.0254)*(I64^3)*2*$B$57*0.00000018</f>
        <v>27.505669241605414</v>
      </c>
      <c r="K64" s="36">
        <f>$K$52*0.6*((0.6*3.1416*($B$53*0.0254)^2*J64^2)^(1/3))/9.81*1000</f>
        <v>402.56084120584251</v>
      </c>
      <c r="L64" s="2">
        <f>K64/F64</f>
        <v>11.474510313906388</v>
      </c>
      <c r="M64" s="38">
        <f>1.30652287/($B$53*0.0254)*POWER(K64*0.00981,3/2)</f>
        <v>28.834077765996486</v>
      </c>
      <c r="N64" s="38">
        <f>POWER(I64/$B$56,3)*100</f>
        <v>30.38026165279333</v>
      </c>
      <c r="O64" s="38">
        <f>0.65*60*O$10/E64</f>
        <v>16.897047645539807</v>
      </c>
      <c r="P64" s="34">
        <f>($B$20*$B$14+SQRT($B$20^2*$B$14^2+4*$B$20*($R$9-(D64*$B$14))))/(2*$B$20)</f>
        <v>19.020642464529928</v>
      </c>
    </row>
    <row r="65" spans="1:16">
      <c r="A65" s="2"/>
      <c r="B65" s="2"/>
    </row>
    <row r="66" spans="1:16">
      <c r="A66" s="2"/>
      <c r="B66" s="2"/>
    </row>
    <row r="69" spans="1:16">
      <c r="H69" s="57" t="s">
        <v>168</v>
      </c>
      <c r="I69" s="58"/>
      <c r="J69" s="58"/>
      <c r="K69" s="58"/>
      <c r="L69" s="58"/>
      <c r="M69" s="59"/>
    </row>
    <row r="70" spans="1:16">
      <c r="O70" s="186" t="s">
        <v>407</v>
      </c>
      <c r="P70" s="186"/>
    </row>
    <row r="71" spans="1:16">
      <c r="D71" s="2"/>
      <c r="E71" s="2"/>
      <c r="F71" s="2"/>
      <c r="G71" s="2"/>
      <c r="H71" s="2"/>
      <c r="I71" s="2"/>
      <c r="J71" s="2"/>
      <c r="K71" s="4" t="s">
        <v>111</v>
      </c>
      <c r="L71" s="2"/>
      <c r="M71" s="2"/>
      <c r="N71" s="2"/>
      <c r="O71" s="89">
        <v>1.25</v>
      </c>
      <c r="P71" s="89" t="s">
        <v>394</v>
      </c>
    </row>
    <row r="72" spans="1:16">
      <c r="D72" s="2"/>
      <c r="E72" s="2"/>
      <c r="F72" s="2"/>
      <c r="G72" s="2"/>
      <c r="H72" s="2"/>
      <c r="I72" s="2"/>
      <c r="J72" s="2"/>
      <c r="K72" s="4">
        <v>1.29</v>
      </c>
      <c r="M72" s="2" t="s">
        <v>113</v>
      </c>
      <c r="N72" s="2" t="s">
        <v>113</v>
      </c>
      <c r="O72" s="89" t="s">
        <v>116</v>
      </c>
    </row>
    <row r="73" spans="1:16">
      <c r="A73" s="5" t="s">
        <v>249</v>
      </c>
      <c r="B73" s="5">
        <v>15</v>
      </c>
      <c r="D73" s="11" t="s">
        <v>425</v>
      </c>
      <c r="E73" s="12" t="s">
        <v>426</v>
      </c>
      <c r="F73" s="12" t="s">
        <v>262</v>
      </c>
      <c r="G73" s="12" t="s">
        <v>127</v>
      </c>
      <c r="H73" s="12" t="s">
        <v>128</v>
      </c>
      <c r="I73" s="13" t="s">
        <v>129</v>
      </c>
      <c r="J73" s="2" t="s">
        <v>24</v>
      </c>
      <c r="K73" s="2" t="s">
        <v>25</v>
      </c>
      <c r="L73" s="9" t="s">
        <v>26</v>
      </c>
      <c r="M73" s="9" t="s">
        <v>133</v>
      </c>
      <c r="N73" s="9" t="s">
        <v>268</v>
      </c>
      <c r="O73" s="89" t="s">
        <v>118</v>
      </c>
      <c r="P73" t="s">
        <v>137</v>
      </c>
    </row>
    <row r="74" spans="1:16">
      <c r="A74" s="5" t="s">
        <v>143</v>
      </c>
      <c r="B74" s="5">
        <v>5</v>
      </c>
      <c r="D74" s="35">
        <v>12.5</v>
      </c>
      <c r="E74" s="9">
        <f t="shared" ref="E74:E81" si="36">(0.5+(0.00000036*$B$77*$B$19^3*($B$74*0.0254)*($B$73*0.0254)^4)*($B$20+$B$21)*$D74-(0.25-(0.00000036*$B$77*$B$19^3*($B$74*0.0254)*($B$73*0.0254)^4)*(($B$20+$B$21)^2*$B$14-($B$20+$B$21)*$D74))^(1/2))/((0.00000036*$B$77*$B$19^3*($B$74*0.0254)*($B$73*0.0254)^4)*($B$20+$B$21)^2)</f>
        <v>17.7860777650938</v>
      </c>
      <c r="F74" s="36">
        <f t="shared" ref="F74:F80" si="37">D74*E74</f>
        <v>222.32597206367251</v>
      </c>
      <c r="G74" s="36">
        <f t="shared" ref="G74:G80" si="38">(D74-($B$20+$B$21)*E74)*(E74-$B$14)</f>
        <v>186.64613755909193</v>
      </c>
      <c r="H74" s="9">
        <f t="shared" ref="H74:H80" si="39">G74/F74*100</f>
        <v>83.951567073611116</v>
      </c>
      <c r="I74" s="37">
        <f t="shared" ref="I74:I80" si="40">$B$19*(D74-(E74*($B$20+$B$21)))</f>
        <v>5329.2689441340081</v>
      </c>
      <c r="J74" s="38">
        <f t="shared" ref="J74:J80" si="41">(($B$73*0.0254)^4)*($B$74*0.0254)*(I74^3)*2*$B$77*0.00000018</f>
        <v>186.64613755909232</v>
      </c>
      <c r="K74" s="36">
        <f>$K$72*0.6*((0.6*3.1416*($B$73*0.0254)^2*J74^2)^(1/3))/9.81*1000</f>
        <v>1672.8948904875751</v>
      </c>
      <c r="L74" s="2">
        <f t="shared" ref="L74:L80" si="42">K74/F74</f>
        <v>7.5245140050865063</v>
      </c>
      <c r="M74" s="38">
        <f t="shared" ref="M74:M80" si="43">1.30652287/($B$73*0.0254)*POWER(K74*0.00981,3/2)</f>
        <v>227.98093668529683</v>
      </c>
      <c r="N74" s="38">
        <f t="shared" ref="N74:N80" si="44">POWER(I74/$B$76,3)*100</f>
        <v>155.49965076269169</v>
      </c>
      <c r="O74" s="38">
        <f t="shared" ref="O74:O80" si="45">0.65*60*O$10/E74</f>
        <v>4.3854525449719715</v>
      </c>
      <c r="P74" s="33">
        <f t="shared" ref="P74:P80" si="46">($B$20*$B$14+SQRT($B$20^2*$B$14^2+4*$B$20*($R$9-(D74*$B$14))))/(2*$B$20)</f>
        <v>17.738127890087547</v>
      </c>
    </row>
    <row r="75" spans="1:16">
      <c r="A75" s="94"/>
      <c r="B75" s="5"/>
      <c r="D75" s="56">
        <v>12.4</v>
      </c>
      <c r="E75" s="9">
        <f t="shared" si="36"/>
        <v>17.541947483830832</v>
      </c>
      <c r="F75" s="36">
        <f t="shared" si="37"/>
        <v>217.52014879950232</v>
      </c>
      <c r="G75" s="36">
        <f t="shared" si="38"/>
        <v>182.63680789873709</v>
      </c>
      <c r="H75" s="9">
        <f t="shared" si="39"/>
        <v>83.963167967065573</v>
      </c>
      <c r="I75" s="37">
        <f t="shared" si="40"/>
        <v>5290.833214979074</v>
      </c>
      <c r="J75" s="38">
        <f t="shared" si="41"/>
        <v>182.63680789873632</v>
      </c>
      <c r="K75" s="63">
        <f t="shared" ref="K75:K80" si="47">$K$72*0.6*((0.6*3.1416*($B$73*0.0254)^2*J75^2)^(1/3))/9.81*1000</f>
        <v>1648.8514176042959</v>
      </c>
      <c r="L75" s="2">
        <f t="shared" si="42"/>
        <v>7.5802238399722368</v>
      </c>
      <c r="M75" s="38">
        <f t="shared" si="43"/>
        <v>223.08369775283444</v>
      </c>
      <c r="N75" s="38">
        <f t="shared" si="44"/>
        <v>152.15937611178725</v>
      </c>
      <c r="O75" s="38">
        <f t="shared" si="45"/>
        <v>4.4464846375749305</v>
      </c>
      <c r="P75" s="34">
        <f t="shared" si="46"/>
        <v>17.765248492423591</v>
      </c>
    </row>
    <row r="76" spans="1:16">
      <c r="A76" s="4" t="s">
        <v>340</v>
      </c>
      <c r="B76" s="4">
        <v>4600</v>
      </c>
      <c r="D76" s="56">
        <v>10</v>
      </c>
      <c r="E76" s="9">
        <f t="shared" si="36"/>
        <v>12.119150221713465</v>
      </c>
      <c r="F76" s="36">
        <f t="shared" si="37"/>
        <v>121.19150221713465</v>
      </c>
      <c r="G76" s="36">
        <f t="shared" si="38"/>
        <v>101.53133125401226</v>
      </c>
      <c r="H76" s="36">
        <f t="shared" si="39"/>
        <v>83.777599416254503</v>
      </c>
      <c r="I76" s="37">
        <f t="shared" si="40"/>
        <v>4350.3880321098623</v>
      </c>
      <c r="J76" s="38">
        <f t="shared" si="41"/>
        <v>101.53133125401257</v>
      </c>
      <c r="K76" s="64">
        <f t="shared" si="47"/>
        <v>1114.7805180474636</v>
      </c>
      <c r="L76" s="38">
        <f t="shared" si="42"/>
        <v>9.1985040011316102</v>
      </c>
      <c r="M76" s="38">
        <f t="shared" si="43"/>
        <v>124.01653902356539</v>
      </c>
      <c r="N76" s="38">
        <f t="shared" si="44"/>
        <v>84.588337899419969</v>
      </c>
      <c r="O76" s="38">
        <f t="shared" si="45"/>
        <v>6.4360948229068144</v>
      </c>
      <c r="P76" s="34">
        <f t="shared" si="46"/>
        <v>18.403890982166537</v>
      </c>
    </row>
    <row r="77" spans="1:16">
      <c r="A77" s="4" t="s">
        <v>110</v>
      </c>
      <c r="B77" s="4">
        <v>1.28</v>
      </c>
      <c r="D77" s="56">
        <v>8.49</v>
      </c>
      <c r="E77" s="9">
        <f t="shared" si="36"/>
        <v>9.1649016921963824</v>
      </c>
      <c r="F77" s="36">
        <f t="shared" si="37"/>
        <v>77.810015366747294</v>
      </c>
      <c r="G77" s="36">
        <f t="shared" si="38"/>
        <v>64.501617724468588</v>
      </c>
      <c r="H77" s="9">
        <f t="shared" si="39"/>
        <v>82.896292232367102</v>
      </c>
      <c r="I77" s="37">
        <f t="shared" si="40"/>
        <v>3739.8269277392042</v>
      </c>
      <c r="J77" s="38">
        <f t="shared" si="41"/>
        <v>64.50161772446944</v>
      </c>
      <c r="K77" s="65">
        <f t="shared" si="47"/>
        <v>823.82769547087821</v>
      </c>
      <c r="L77" s="2">
        <f t="shared" si="42"/>
        <v>10.587681953124859</v>
      </c>
      <c r="M77" s="38">
        <f t="shared" si="43"/>
        <v>78.786196268785986</v>
      </c>
      <c r="N77" s="38">
        <f t="shared" si="44"/>
        <v>53.737940473630985</v>
      </c>
      <c r="O77" s="38">
        <f t="shared" si="45"/>
        <v>8.5107295876849918</v>
      </c>
      <c r="P77" s="34">
        <f t="shared" si="46"/>
        <v>18.794343021799389</v>
      </c>
    </row>
    <row r="78" spans="1:16">
      <c r="A78" s="5"/>
      <c r="B78" s="5"/>
      <c r="D78" s="56">
        <v>8</v>
      </c>
      <c r="E78" s="9">
        <f t="shared" si="36"/>
        <v>8.2878235287785422</v>
      </c>
      <c r="F78" s="36">
        <f t="shared" si="37"/>
        <v>66.302588230228338</v>
      </c>
      <c r="G78" s="36">
        <f t="shared" si="38"/>
        <v>54.627678628430388</v>
      </c>
      <c r="H78" s="9">
        <f t="shared" si="39"/>
        <v>82.391472318911397</v>
      </c>
      <c r="I78" s="37">
        <f t="shared" si="40"/>
        <v>3538.3344750261044</v>
      </c>
      <c r="J78" s="38">
        <f t="shared" si="41"/>
        <v>54.627678628429543</v>
      </c>
      <c r="K78" s="64">
        <f t="shared" si="47"/>
        <v>737.44756708388218</v>
      </c>
      <c r="L78" s="2">
        <f t="shared" si="42"/>
        <v>11.122455197724376</v>
      </c>
      <c r="M78" s="38">
        <f t="shared" si="43"/>
        <v>66.72556692318247</v>
      </c>
      <c r="N78" s="38">
        <f t="shared" si="44"/>
        <v>45.511710340150799</v>
      </c>
      <c r="O78" s="38">
        <f t="shared" si="45"/>
        <v>9.4113973022173685</v>
      </c>
      <c r="P78" s="34">
        <f t="shared" si="46"/>
        <v>18.919276981283645</v>
      </c>
    </row>
    <row r="79" spans="1:16">
      <c r="A79" s="5"/>
      <c r="B79" s="5"/>
      <c r="D79" s="56">
        <v>7.5</v>
      </c>
      <c r="E79" s="9">
        <f t="shared" si="36"/>
        <v>7.4358414263964443</v>
      </c>
      <c r="F79" s="36">
        <f t="shared" si="37"/>
        <v>55.768810697973329</v>
      </c>
      <c r="G79" s="36">
        <f t="shared" si="38"/>
        <v>45.574650208894646</v>
      </c>
      <c r="H79" s="36">
        <f t="shared" si="39"/>
        <v>81.720677989195238</v>
      </c>
      <c r="I79" s="37">
        <f t="shared" si="40"/>
        <v>3330.9574371968065</v>
      </c>
      <c r="J79" s="38">
        <f t="shared" si="41"/>
        <v>45.574650208894987</v>
      </c>
      <c r="K79" s="64">
        <f t="shared" si="47"/>
        <v>653.53905532665226</v>
      </c>
      <c r="L79" s="38">
        <f t="shared" si="42"/>
        <v>11.718719605946379</v>
      </c>
      <c r="M79" s="38">
        <f t="shared" si="43"/>
        <v>55.66764777245448</v>
      </c>
      <c r="N79" s="38">
        <f t="shared" si="44"/>
        <v>37.969401798477101</v>
      </c>
      <c r="O79" s="38">
        <f t="shared" si="45"/>
        <v>10.48973418436659</v>
      </c>
      <c r="P79" s="34">
        <f t="shared" si="46"/>
        <v>19.045897732810918</v>
      </c>
    </row>
    <row r="80" spans="1:16">
      <c r="A80" s="5"/>
      <c r="B80" s="5"/>
      <c r="D80" s="56">
        <v>6.66</v>
      </c>
      <c r="E80" s="9">
        <f t="shared" si="36"/>
        <v>6.1054763804180565</v>
      </c>
      <c r="F80" s="36">
        <f t="shared" si="37"/>
        <v>40.662472693584256</v>
      </c>
      <c r="G80" s="36">
        <f t="shared" si="38"/>
        <v>32.581113531746048</v>
      </c>
      <c r="H80" s="9">
        <f t="shared" si="39"/>
        <v>80.125755699275786</v>
      </c>
      <c r="I80" s="37">
        <f t="shared" si="40"/>
        <v>2978.4017362172658</v>
      </c>
      <c r="J80" s="38">
        <f t="shared" si="41"/>
        <v>32.581113531745807</v>
      </c>
      <c r="K80" s="66">
        <f t="shared" si="47"/>
        <v>522.51640732758528</v>
      </c>
      <c r="L80" s="2">
        <f t="shared" si="42"/>
        <v>12.850089350567906</v>
      </c>
      <c r="M80" s="38">
        <f t="shared" si="43"/>
        <v>39.796552333507208</v>
      </c>
      <c r="N80" s="38">
        <f t="shared" si="44"/>
        <v>27.144155469287817</v>
      </c>
      <c r="O80" s="38">
        <f t="shared" si="45"/>
        <v>12.775415895501204</v>
      </c>
      <c r="P80" s="34">
        <f t="shared" si="46"/>
        <v>19.256706621660758</v>
      </c>
    </row>
    <row r="81" spans="1:16">
      <c r="A81" s="5"/>
      <c r="B81" s="5"/>
      <c r="D81" s="60">
        <v>5.8</v>
      </c>
      <c r="E81" s="17">
        <f t="shared" si="36"/>
        <v>4.8798736729944938</v>
      </c>
      <c r="F81" s="61">
        <f>D81*E81</f>
        <v>28.303267303368063</v>
      </c>
      <c r="G81" s="61">
        <f>(D81-($B$20+$B$21)*E81)*(E81-$B$14)</f>
        <v>21.970979512658985</v>
      </c>
      <c r="H81" s="17">
        <f>G81/F81*100</f>
        <v>77.627007783813212</v>
      </c>
      <c r="I81" s="62">
        <f>$B$19*(D81-(E81*($B$20+$B$21)))</f>
        <v>2611.8272078308019</v>
      </c>
      <c r="J81" s="38">
        <f>(($B$73*0.0254)^4)*($B$74*0.0254)*(I81^3)*2*$B$77*0.00000018</f>
        <v>21.970979512659575</v>
      </c>
      <c r="K81" s="36">
        <f>$K$72*0.6*((0.6*3.1416*($B$73*0.0254)^2*J81^2)^(1/3))/9.81*1000</f>
        <v>401.81140789388957</v>
      </c>
      <c r="L81" s="2">
        <f>K81/F81</f>
        <v>14.196643927610236</v>
      </c>
      <c r="M81" s="38">
        <f>1.30652287/($B$73*0.0254)*POWER(K81*0.00981,3/2)</f>
        <v>26.836689763289389</v>
      </c>
      <c r="N81" s="38">
        <f>POWER(I81/$B$76,3)*100</f>
        <v>18.304582595775162</v>
      </c>
      <c r="O81" s="38">
        <f>0.65*60*O$10/E81</f>
        <v>15.984020330619737</v>
      </c>
      <c r="P81" s="34">
        <f>($B$20*$B$14+SQRT($B$20^2*$B$14^2+4*$B$20*($R$9-(D81*$B$14))))/(2*$B$20)</f>
        <v>19.47012066722294</v>
      </c>
    </row>
    <row r="82" spans="1:16">
      <c r="A82" s="5"/>
      <c r="B82" s="5"/>
    </row>
    <row r="86" spans="1:16">
      <c r="H86" s="57" t="s">
        <v>344</v>
      </c>
      <c r="I86" s="90"/>
      <c r="J86" s="90"/>
      <c r="K86" s="90"/>
      <c r="L86" s="90"/>
      <c r="M86" s="91"/>
    </row>
    <row r="87" spans="1:16">
      <c r="O87" s="186" t="s">
        <v>407</v>
      </c>
      <c r="P87" s="186"/>
    </row>
    <row r="88" spans="1:16">
      <c r="D88" s="2"/>
      <c r="E88" s="2"/>
      <c r="F88" s="2"/>
      <c r="G88" s="2"/>
      <c r="H88" s="2"/>
      <c r="I88" s="2"/>
      <c r="J88" s="2"/>
      <c r="K88" s="4" t="s">
        <v>111</v>
      </c>
      <c r="L88" s="2"/>
      <c r="M88" s="2"/>
      <c r="N88" s="2"/>
      <c r="O88" s="89">
        <v>1.25</v>
      </c>
      <c r="P88" s="89" t="s">
        <v>394</v>
      </c>
    </row>
    <row r="89" spans="1:16">
      <c r="D89" s="2"/>
      <c r="E89" s="2"/>
      <c r="F89" s="2"/>
      <c r="G89" s="2"/>
      <c r="H89" s="2"/>
      <c r="I89" s="2"/>
      <c r="J89" s="2"/>
      <c r="K89" s="4">
        <v>1.29</v>
      </c>
      <c r="M89" s="2" t="s">
        <v>113</v>
      </c>
      <c r="N89" s="2" t="s">
        <v>113</v>
      </c>
      <c r="O89" s="89" t="s">
        <v>116</v>
      </c>
    </row>
    <row r="90" spans="1:16">
      <c r="A90" s="5" t="s">
        <v>249</v>
      </c>
      <c r="B90" s="5">
        <v>12</v>
      </c>
      <c r="D90" s="11" t="s">
        <v>341</v>
      </c>
      <c r="E90" s="12" t="s">
        <v>342</v>
      </c>
      <c r="F90" s="12" t="s">
        <v>262</v>
      </c>
      <c r="G90" s="12" t="s">
        <v>127</v>
      </c>
      <c r="H90" s="12" t="s">
        <v>128</v>
      </c>
      <c r="I90" s="13" t="s">
        <v>129</v>
      </c>
      <c r="J90" s="2" t="s">
        <v>24</v>
      </c>
      <c r="K90" s="2" t="s">
        <v>25</v>
      </c>
      <c r="L90" s="9" t="s">
        <v>26</v>
      </c>
      <c r="M90" s="9" t="s">
        <v>133</v>
      </c>
      <c r="N90" s="9" t="s">
        <v>268</v>
      </c>
      <c r="O90" s="89" t="s">
        <v>118</v>
      </c>
      <c r="P90" t="s">
        <v>137</v>
      </c>
    </row>
    <row r="91" spans="1:16">
      <c r="A91" s="5" t="s">
        <v>143</v>
      </c>
      <c r="B91" s="5">
        <v>4.5</v>
      </c>
      <c r="D91" s="35">
        <v>19.7</v>
      </c>
      <c r="E91" s="9">
        <f t="shared" ref="E91:E102" si="48">(0.5+(0.00000036*$B$94*$B$19^3*($B$91*0.0254)*($B$90*0.0254)^4)*($B$20+$B$21)*$D91-(0.25-(0.00000036*$B$94*$B$19^3*($B$91*0.0254)*($B$90*0.0254)^4)*(($B$20+$B$21)^2*$B$14-($B$20+$B$21)*$D91))^(1/2))/((0.00000036*$B$94*$B$19^3*($B$91*0.0254)*($B$90*0.0254)^4)*($B$20+$B$21)^2)</f>
        <v>15.816342587394185</v>
      </c>
      <c r="F91" s="36">
        <f>D91*E91</f>
        <v>311.58194897166544</v>
      </c>
      <c r="G91" s="36">
        <f>(D91-($B$20+$B$21)*E91)*(E91-$B$14)</f>
        <v>275.63414137605366</v>
      </c>
      <c r="H91" s="9">
        <f>G91/F91*100</f>
        <v>88.462808030358403</v>
      </c>
      <c r="I91" s="37">
        <f>$B$19*(D91-(E91*($B$20+$B$21)))</f>
        <v>8902.4712768346744</v>
      </c>
      <c r="J91" s="38">
        <f>(($B$90*0.0254)^4)*($B$91*0.0254)*(I91^3)*2*$B$94*0.00000018</f>
        <v>275.63414137605321</v>
      </c>
      <c r="K91" s="36">
        <f>$K$89*0.6*((0.6*3.1416*($B$90*0.0254)^2*J91^2)^(1/3))/9.81*1000</f>
        <v>1869.5538612235046</v>
      </c>
      <c r="L91" s="2">
        <f>K91/F91</f>
        <v>6.0001995218070787</v>
      </c>
      <c r="M91" s="38">
        <f>1.30652287/($B$90*0.0254)*POWER(K91*0.00981,3/2)</f>
        <v>336.67629319929085</v>
      </c>
      <c r="N91" s="38">
        <f>POWER(I91/$B$93,3)*100</f>
        <v>359.38084584225436</v>
      </c>
      <c r="O91" s="38">
        <f>0.65*60*O$10/E91</f>
        <v>4.9316078966427384</v>
      </c>
      <c r="P91" s="33">
        <f>($B$20*$B$14+SQRT($B$20^2*$B$14^2+4*$B$20*($R$9-(D91*$B$14))))/(2*$B$20)</f>
        <v>15.659291361353537</v>
      </c>
    </row>
    <row r="92" spans="1:16">
      <c r="A92" s="94"/>
      <c r="B92" s="5"/>
      <c r="D92" s="56">
        <v>19.600000000000001</v>
      </c>
      <c r="E92" s="9">
        <f t="shared" si="48"/>
        <v>15.673004919558783</v>
      </c>
      <c r="F92" s="36">
        <f>D92*E92</f>
        <v>307.19089642335217</v>
      </c>
      <c r="G92" s="36">
        <f>(D92-($B$20+$B$21)*E92)*(E92-$B$14)</f>
        <v>271.69699868515852</v>
      </c>
      <c r="H92" s="9">
        <f>G92/F92*100</f>
        <v>88.445654428092794</v>
      </c>
      <c r="I92" s="37">
        <f>$B$19*(D92-(E92*($B$20+$B$21)))</f>
        <v>8859.88037219119</v>
      </c>
      <c r="J92" s="38">
        <f t="shared" ref="J92:J100" si="49">(($B$90*0.0254)^4)*($B$91*0.0254)*(I92^3)*2*$B$94*0.00000018</f>
        <v>271.69699868515204</v>
      </c>
      <c r="K92" s="63">
        <f t="shared" ref="K92:K100" si="50">$K$89*0.6*((0.6*3.1416*($B$90*0.0254)^2*J92^2)^(1/3))/9.81*1000</f>
        <v>1851.7081382186209</v>
      </c>
      <c r="L92" s="2">
        <f>K92/F92</f>
        <v>6.0278743926926373</v>
      </c>
      <c r="M92" s="38">
        <f t="shared" ref="M92:M100" si="51">1.30652287/($B$90*0.0254)*POWER(K92*0.00981,3/2)</f>
        <v>331.86722781881286</v>
      </c>
      <c r="N92" s="38">
        <f t="shared" ref="N92:N100" si="52">POWER(I92/$B$93,3)*100</f>
        <v>354.24746989907879</v>
      </c>
      <c r="O92" s="38">
        <f>0.65*60*O$10/E92</f>
        <v>4.9767099800154853</v>
      </c>
      <c r="P92" s="34">
        <f>($B$20*$B$14+SQRT($B$20^2*$B$14^2+4*$B$20*($R$9-(D92*$B$14))))/(2*$B$20)</f>
        <v>15.690099715870623</v>
      </c>
    </row>
    <row r="93" spans="1:16">
      <c r="A93" s="4" t="s">
        <v>340</v>
      </c>
      <c r="B93" s="4">
        <v>5812</v>
      </c>
      <c r="D93" s="56">
        <v>18</v>
      </c>
      <c r="E93" s="9">
        <f t="shared" si="48"/>
        <v>13.462499130472953</v>
      </c>
      <c r="F93" s="36">
        <f>D93*E93</f>
        <v>242.32498434851314</v>
      </c>
      <c r="G93" s="36">
        <f>(D93-($B$20+$B$21)*E93)*(E93-$B$14)</f>
        <v>213.43512924815656</v>
      </c>
      <c r="H93" s="36">
        <f>G93/F93*100</f>
        <v>88.078053454526568</v>
      </c>
      <c r="I93" s="37">
        <f>$B$19*(D93-(E93*($B$20+$B$21)))</f>
        <v>8175.0084733462518</v>
      </c>
      <c r="J93" s="38">
        <f t="shared" si="49"/>
        <v>213.43512924815676</v>
      </c>
      <c r="K93" s="64">
        <f t="shared" si="50"/>
        <v>1576.497339770875</v>
      </c>
      <c r="L93" s="38">
        <f>K93/F93</f>
        <v>6.5057152237490614</v>
      </c>
      <c r="M93" s="38">
        <f t="shared" si="51"/>
        <v>260.70263935752024</v>
      </c>
      <c r="N93" s="38">
        <f t="shared" si="52"/>
        <v>278.2837311035571</v>
      </c>
      <c r="O93" s="38">
        <f>0.65*60*O$10/E93</f>
        <v>5.793872240514661</v>
      </c>
      <c r="P93" s="34">
        <f>($B$20*$B$14+SQRT($B$20^2*$B$14^2+4*$B$20*($R$9-(D93*$B$14))))/(2*$B$20)</f>
        <v>16.174852546083549</v>
      </c>
    </row>
    <row r="94" spans="1:16">
      <c r="A94" s="4" t="s">
        <v>110</v>
      </c>
      <c r="B94" s="4">
        <v>1.1000000000000001</v>
      </c>
      <c r="D94" s="56">
        <v>16.5</v>
      </c>
      <c r="E94" s="9">
        <f t="shared" si="48"/>
        <v>11.534586050660774</v>
      </c>
      <c r="F94" s="36">
        <f>D94*E94</f>
        <v>190.32066983590278</v>
      </c>
      <c r="G94" s="36">
        <f>(D94-($B$20+$B$21)*E94)*(E94-$B$14)</f>
        <v>166.59605428173936</v>
      </c>
      <c r="H94" s="9">
        <f>G94/F94*100</f>
        <v>87.534398878156992</v>
      </c>
      <c r="I94" s="37">
        <f>$B$19*(D94-(E94*($B$20+$B$21)))</f>
        <v>7526.9866900615098</v>
      </c>
      <c r="J94" s="38">
        <f t="shared" si="49"/>
        <v>166.59605428173663</v>
      </c>
      <c r="K94" s="64">
        <f t="shared" si="50"/>
        <v>1336.4696951237511</v>
      </c>
      <c r="L94" s="2">
        <f>K94/F94</f>
        <v>7.0221994083778423</v>
      </c>
      <c r="M94" s="38">
        <f t="shared" si="51"/>
        <v>203.49054633504065</v>
      </c>
      <c r="N94" s="38">
        <f t="shared" si="52"/>
        <v>217.21340688368792</v>
      </c>
      <c r="O94" s="38">
        <f>0.65*60*O$10/E94</f>
        <v>6.7622712819877631</v>
      </c>
      <c r="P94" s="34">
        <f>($B$20*$B$14+SQRT($B$20^2*$B$14^2+4*$B$20*($R$9-(D94*$B$14))))/(2*$B$20)</f>
        <v>16.616153055194754</v>
      </c>
    </row>
    <row r="95" spans="1:16">
      <c r="D95" s="56">
        <v>15</v>
      </c>
      <c r="E95" s="9">
        <f t="shared" si="48"/>
        <v>9.7503678676350773</v>
      </c>
      <c r="F95" s="36">
        <f t="shared" ref="F95:F100" si="53">D95*E95</f>
        <v>146.25551801452616</v>
      </c>
      <c r="G95" s="36">
        <f t="shared" ref="G95:G100" si="54">(D95-($B$20+$B$21)*E95)*(E95-$B$14)</f>
        <v>126.83762077741743</v>
      </c>
      <c r="H95" s="36">
        <f t="shared" ref="H95:H100" si="55">G95/F95*100</f>
        <v>86.72330623779942</v>
      </c>
      <c r="I95" s="37">
        <f t="shared" ref="I95:I100" si="56">$B$19*(D95-(E95*($B$20+$B$21)))</f>
        <v>6873.0410846567438</v>
      </c>
      <c r="J95" s="38">
        <f t="shared" si="49"/>
        <v>126.83762077741862</v>
      </c>
      <c r="K95" s="64">
        <f t="shared" si="50"/>
        <v>1114.3322489429077</v>
      </c>
      <c r="L95" s="38">
        <f t="shared" ref="L95:L100" si="57">K95/F95</f>
        <v>7.619078336806627</v>
      </c>
      <c r="M95" s="38">
        <f t="shared" si="51"/>
        <v>154.92717915266445</v>
      </c>
      <c r="N95" s="38">
        <f t="shared" si="52"/>
        <v>165.37505554298505</v>
      </c>
      <c r="O95" s="38">
        <f t="shared" ref="O95:O100" si="58">0.65*60*O$10/E95</f>
        <v>7.9996981712771689</v>
      </c>
      <c r="P95" s="34">
        <f t="shared" ref="P95:P100" si="59">($B$20*$B$14+SQRT($B$20^2*$B$14^2+4*$B$20*($R$9-(D95*$B$14))))/(2*$B$20)</f>
        <v>17.045758227498251</v>
      </c>
    </row>
    <row r="96" spans="1:16">
      <c r="D96" s="56">
        <v>13.5</v>
      </c>
      <c r="E96" s="9">
        <f t="shared" si="48"/>
        <v>8.1138588592218177</v>
      </c>
      <c r="F96" s="36">
        <f t="shared" si="53"/>
        <v>109.53709459949454</v>
      </c>
      <c r="G96" s="36">
        <f t="shared" si="54"/>
        <v>93.692887026994967</v>
      </c>
      <c r="H96" s="9">
        <f t="shared" si="55"/>
        <v>85.535304153874563</v>
      </c>
      <c r="I96" s="37">
        <f t="shared" si="56"/>
        <v>6213.00616852858</v>
      </c>
      <c r="J96" s="38">
        <f t="shared" si="49"/>
        <v>93.692887026992366</v>
      </c>
      <c r="K96" s="64">
        <f t="shared" si="50"/>
        <v>910.58478395266422</v>
      </c>
      <c r="L96" s="2">
        <f t="shared" si="57"/>
        <v>8.3130266261130696</v>
      </c>
      <c r="M96" s="38">
        <f t="shared" si="51"/>
        <v>114.44218682747051</v>
      </c>
      <c r="N96" s="38">
        <f t="shared" si="52"/>
        <v>122.15986314708628</v>
      </c>
      <c r="O96" s="38">
        <f t="shared" si="58"/>
        <v>9.6131817613944559</v>
      </c>
      <c r="P96" s="34">
        <f t="shared" si="59"/>
        <v>17.464551386636252</v>
      </c>
    </row>
    <row r="97" spans="4:16">
      <c r="D97" s="56">
        <v>12.83</v>
      </c>
      <c r="E97" s="9">
        <f t="shared" si="48"/>
        <v>7.4317087051452306</v>
      </c>
      <c r="F97" s="36">
        <f t="shared" si="53"/>
        <v>95.34882268701331</v>
      </c>
      <c r="G97" s="36">
        <f t="shared" si="54"/>
        <v>80.895603865322016</v>
      </c>
      <c r="H97" s="36">
        <f t="shared" si="55"/>
        <v>84.841743805128445</v>
      </c>
      <c r="I97" s="37">
        <f t="shared" si="56"/>
        <v>5916.1778086303875</v>
      </c>
      <c r="J97" s="38">
        <f t="shared" si="49"/>
        <v>80.895603865322727</v>
      </c>
      <c r="K97" s="65">
        <f t="shared" si="50"/>
        <v>825.65621715516738</v>
      </c>
      <c r="L97" s="38">
        <f t="shared" si="57"/>
        <v>8.659322620746142</v>
      </c>
      <c r="M97" s="38">
        <f t="shared" si="51"/>
        <v>98.810807360532905</v>
      </c>
      <c r="N97" s="38">
        <f t="shared" si="52"/>
        <v>105.47434507532816</v>
      </c>
      <c r="O97" s="38">
        <f t="shared" si="58"/>
        <v>10.495567452206231</v>
      </c>
      <c r="P97" s="34">
        <f t="shared" si="59"/>
        <v>17.648327350212554</v>
      </c>
    </row>
    <row r="98" spans="4:16">
      <c r="D98" s="56">
        <v>12</v>
      </c>
      <c r="E98" s="9">
        <f t="shared" si="48"/>
        <v>6.6292637643986376</v>
      </c>
      <c r="F98" s="36">
        <f t="shared" si="53"/>
        <v>79.551165172783655</v>
      </c>
      <c r="G98" s="36">
        <f t="shared" si="54"/>
        <v>66.666448373835422</v>
      </c>
      <c r="H98" s="9">
        <f t="shared" si="55"/>
        <v>83.803233087833632</v>
      </c>
      <c r="I98" s="37">
        <f t="shared" si="56"/>
        <v>5546.7086013126664</v>
      </c>
      <c r="J98" s="38">
        <f t="shared" si="49"/>
        <v>66.66644837383447</v>
      </c>
      <c r="K98" s="64">
        <f t="shared" si="50"/>
        <v>725.75079553461126</v>
      </c>
      <c r="L98" s="2">
        <f t="shared" si="57"/>
        <v>9.1230693347896796</v>
      </c>
      <c r="M98" s="38">
        <f t="shared" si="51"/>
        <v>81.430452001380644</v>
      </c>
      <c r="N98" s="38">
        <f t="shared" si="52"/>
        <v>86.921904834714752</v>
      </c>
      <c r="O98" s="38">
        <f t="shared" si="58"/>
        <v>11.766012452074403</v>
      </c>
      <c r="P98" s="34">
        <f t="shared" si="59"/>
        <v>17.87330996365522</v>
      </c>
    </row>
    <row r="99" spans="4:16">
      <c r="D99" s="56">
        <v>11</v>
      </c>
      <c r="E99" s="9">
        <f t="shared" si="48"/>
        <v>5.7260983735770763</v>
      </c>
      <c r="F99" s="36">
        <f t="shared" si="53"/>
        <v>62.987082109347838</v>
      </c>
      <c r="G99" s="36">
        <f t="shared" si="54"/>
        <v>51.789459579121107</v>
      </c>
      <c r="H99" s="36">
        <f t="shared" si="55"/>
        <v>82.222350749972421</v>
      </c>
      <c r="I99" s="37">
        <f t="shared" si="56"/>
        <v>5098.9415945492847</v>
      </c>
      <c r="J99" s="38">
        <f t="shared" si="49"/>
        <v>51.789459579124774</v>
      </c>
      <c r="K99" s="64">
        <f t="shared" si="50"/>
        <v>613.30554903693576</v>
      </c>
      <c r="L99" s="38">
        <f t="shared" si="57"/>
        <v>9.7370052477143698</v>
      </c>
      <c r="M99" s="38">
        <f t="shared" si="51"/>
        <v>63.258793670648892</v>
      </c>
      <c r="N99" s="38">
        <f t="shared" si="52"/>
        <v>67.524798257361681</v>
      </c>
      <c r="O99" s="38">
        <f t="shared" si="58"/>
        <v>13.621840721411434</v>
      </c>
      <c r="P99" s="34">
        <f t="shared" si="59"/>
        <v>18.140584144606265</v>
      </c>
    </row>
    <row r="100" spans="4:16">
      <c r="D100" s="56">
        <v>10.5</v>
      </c>
      <c r="E100" s="9">
        <f t="shared" si="48"/>
        <v>5.3009906798959001</v>
      </c>
      <c r="F100" s="36">
        <f t="shared" si="53"/>
        <v>55.660402138906953</v>
      </c>
      <c r="G100" s="36">
        <f t="shared" si="54"/>
        <v>45.232326819130698</v>
      </c>
      <c r="H100" s="9">
        <f t="shared" si="55"/>
        <v>81.264822173307721</v>
      </c>
      <c r="I100" s="37">
        <f t="shared" si="56"/>
        <v>4873.9666592212907</v>
      </c>
      <c r="J100" s="38">
        <f t="shared" si="49"/>
        <v>45.232326819130094</v>
      </c>
      <c r="K100" s="64">
        <f t="shared" si="50"/>
        <v>560.37909737050916</v>
      </c>
      <c r="L100" s="2">
        <f t="shared" si="57"/>
        <v>10.067823368793105</v>
      </c>
      <c r="M100" s="38">
        <f t="shared" si="51"/>
        <v>55.2495131779297</v>
      </c>
      <c r="N100" s="38">
        <f t="shared" si="52"/>
        <v>58.975393216961372</v>
      </c>
      <c r="O100" s="38">
        <f t="shared" si="58"/>
        <v>14.714230737249995</v>
      </c>
      <c r="P100" s="34">
        <f t="shared" si="59"/>
        <v>18.272722460352714</v>
      </c>
    </row>
    <row r="101" spans="4:16">
      <c r="D101" s="56">
        <v>10.15</v>
      </c>
      <c r="E101" s="9">
        <f t="shared" si="48"/>
        <v>5.0140441030624636</v>
      </c>
      <c r="F101" s="36">
        <f>D101*E101</f>
        <v>50.892547646084004</v>
      </c>
      <c r="G101" s="36">
        <f>(D101-($B$20+$B$21)*E101)*(E101-$B$14)</f>
        <v>40.976548392358538</v>
      </c>
      <c r="H101" s="9">
        <f>G101/F101*100</f>
        <v>80.515812800956397</v>
      </c>
      <c r="I101" s="37">
        <f>$B$19*(D101-(E101*($B$20+$B$21)))</f>
        <v>4716.0460318512496</v>
      </c>
      <c r="J101" s="38">
        <f>(($B$90*0.0254)^4)*($B$91*0.0254)*(I101^3)*2*$B$94*0.00000018</f>
        <v>40.976548392359263</v>
      </c>
      <c r="K101" s="66">
        <f>$K$89*0.6*((0.6*3.1416*($B$90*0.0254)^2*J101^2)^(1/3))/9.81*1000</f>
        <v>524.65388148911904</v>
      </c>
      <c r="L101" s="2">
        <f>K101/F101</f>
        <v>10.309051241404875</v>
      </c>
      <c r="M101" s="38">
        <f>1.30652287/($B$90*0.0254)*POWER(K101*0.00981,3/2)</f>
        <v>50.051246743120061</v>
      </c>
      <c r="N101" s="38">
        <f>POWER(I101/$B$93,3)*100</f>
        <v>53.426569536793735</v>
      </c>
      <c r="O101" s="38">
        <f>0.65*60*O$10/E101</f>
        <v>15.556305129498039</v>
      </c>
      <c r="P101" s="34">
        <f>($B$20*$B$14+SQRT($B$20^2*$B$14^2+4*$B$20*($R$9-(D101*$B$14))))/(2*$B$20)</f>
        <v>18.364640987001525</v>
      </c>
    </row>
    <row r="102" spans="4:16">
      <c r="D102" s="60">
        <v>8.9</v>
      </c>
      <c r="E102" s="17">
        <f t="shared" si="48"/>
        <v>4.0616835837362153</v>
      </c>
      <c r="F102" s="61">
        <f>D102*E102</f>
        <v>36.148983895252314</v>
      </c>
      <c r="G102" s="61">
        <f>(D102-($B$20+$B$21)*E102)*(E102-$B$14)</f>
        <v>27.90291012852304</v>
      </c>
      <c r="H102" s="61">
        <f>G102/F102*100</f>
        <v>77.188643004119712</v>
      </c>
      <c r="I102" s="62">
        <f>$B$19*(D102-(E102*($B$20+$B$21)))</f>
        <v>4149.0570942604745</v>
      </c>
      <c r="J102" s="38">
        <f>(($B$90*0.0254)^4)*($B$91*0.0254)*(I102^3)*2*$B$94*0.00000018</f>
        <v>27.902910128524464</v>
      </c>
      <c r="K102" s="36">
        <f>$K$89*0.6*((0.6*3.1416*($B$90*0.0254)^2*J102^2)^(1/3))/9.81*1000</f>
        <v>406.08377856154522</v>
      </c>
      <c r="L102" s="38">
        <f>K102/F102</f>
        <v>11.233615299900004</v>
      </c>
      <c r="M102" s="38">
        <f>1.30652287/($B$90*0.0254)*POWER(K102*0.00981,3/2)</f>
        <v>34.082310357655587</v>
      </c>
      <c r="N102" s="38">
        <f>POWER(I102/$B$93,3)*100</f>
        <v>36.380730606838853</v>
      </c>
      <c r="O102" s="38">
        <f>0.65*60*O$10/E102</f>
        <v>19.203859284442402</v>
      </c>
      <c r="P102" s="34">
        <f>($B$20*$B$14+SQRT($B$20^2*$B$14^2+4*$B$20*($R$9-(D102*$B$14))))/(2*$B$20)</f>
        <v>18.689150654806475</v>
      </c>
    </row>
  </sheetData>
  <sheetCalcPr fullCalcOnLoad="1"/>
  <mergeCells count="5">
    <mergeCell ref="O9:P9"/>
    <mergeCell ref="O30:P30"/>
    <mergeCell ref="O50:P50"/>
    <mergeCell ref="O70:P70"/>
    <mergeCell ref="O87:P87"/>
  </mergeCells>
  <phoneticPr fontId="1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efficacité</vt:lpstr>
      <vt:lpstr>5017-620Kv</vt:lpstr>
      <vt:lpstr>AX2810Q-750Kv</vt:lpstr>
      <vt:lpstr>3508-380Kv</vt:lpstr>
      <vt:lpstr>4225-390Kv</vt:lpstr>
      <vt:lpstr>4010-375Kv</vt:lpstr>
      <vt:lpstr>4230-400Kv</vt:lpstr>
      <vt:lpstr>4822-390Kv</vt:lpstr>
      <vt:lpstr>4010-485KV</vt:lpstr>
      <vt:lpstr>AX-4008Q-620Kv</vt:lpstr>
      <vt:lpstr>13x4</vt:lpstr>
      <vt:lpstr>temps vol</vt:lpstr>
      <vt:lpstr>poids_temps de vol</vt:lpstr>
      <vt:lpstr>machine perso</vt:lpstr>
      <vt:lpstr>adapt. Rc</vt:lpstr>
    </vt:vector>
  </TitlesOfParts>
  <Company/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M</dc:creator>
  <cp:lastModifiedBy>Tom Singers</cp:lastModifiedBy>
  <dcterms:created xsi:type="dcterms:W3CDTF">2013-11-04T16:11:48Z</dcterms:created>
  <dcterms:modified xsi:type="dcterms:W3CDTF">2014-05-29T11:28:06Z</dcterms:modified>
</cp:coreProperties>
</file>